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autoCompressPictures="0" defaultThemeVersion="124226"/>
  <mc:AlternateContent xmlns:mc="http://schemas.openxmlformats.org/markup-compatibility/2006">
    <mc:Choice Requires="x15">
      <x15ac:absPath xmlns:x15ac="http://schemas.microsoft.com/office/spreadsheetml/2010/11/ac" url="https://newbelgium.sharepoint.com/sites/NBBCarbonNeutral704/Shared Documents/CN Toolkit/"/>
    </mc:Choice>
  </mc:AlternateContent>
  <xr:revisionPtr revIDLastSave="2851" documentId="8_{8BB3B659-7895-48EC-895F-6478958D0F77}" xr6:coauthVersionLast="46" xr6:coauthVersionMax="47" xr10:uidLastSave="{C873970C-0B6B-412B-98BD-7E0DB3C2F11E}"/>
  <bookViews>
    <workbookView xWindow="28680" yWindow="-2550" windowWidth="29040" windowHeight="15840" tabRatio="945" xr2:uid="{00000000-000D-0000-FFFF-FFFF00000000}"/>
  </bookViews>
  <sheets>
    <sheet name="Welcome" sheetId="58" r:id="rId1"/>
    <sheet name="Glossary-FAQs" sheetId="62" r:id="rId2"/>
    <sheet name="Report-All Sources" sheetId="19" r:id="rId3"/>
    <sheet name="Report-ScopeSummary" sheetId="1" r:id="rId4"/>
    <sheet name="Report-Brewery" sheetId="31" r:id="rId5"/>
    <sheet name="Report-Upstream" sheetId="60" r:id="rId6"/>
    <sheet name="Report-Downstream" sheetId="32" r:id="rId7"/>
    <sheet name="Brewery-Control Data" sheetId="35" r:id="rId8"/>
    <sheet name="Brewery-Electricity" sheetId="8" r:id="rId9"/>
    <sheet name="Brewery-Natural Gas" sheetId="2" r:id="rId10"/>
    <sheet name="Brewery-Flaring" sheetId="22" r:id="rId11"/>
    <sheet name="Brewery-Fugitive" sheetId="5" r:id="rId12"/>
    <sheet name="Brewery-Manu Waste" sheetId="15" r:id="rId13"/>
    <sheet name="Brewery-Vehicle Fleet" sheetId="34" r:id="rId14"/>
    <sheet name="Brewery-Air Travel" sheetId="4" r:id="rId15"/>
    <sheet name="Upstream-Water" sheetId="13" r:id="rId16"/>
    <sheet name="Upstream-Malt" sheetId="24" r:id="rId17"/>
    <sheet name="Upstream-Barley" sheetId="27" r:id="rId18"/>
    <sheet name="Upstream-CO2 Purchases" sheetId="14" r:id="rId19"/>
    <sheet name="Upstream-Glass" sheetId="23" r:id="rId20"/>
    <sheet name="Upstream-Aluminum" sheetId="36" r:id="rId21"/>
    <sheet name="Upstream-Fiber Packaging" sheetId="52" r:id="rId22"/>
    <sheet name="Downstream-Distribution" sheetId="12" r:id="rId23"/>
    <sheet name="Downstream-Retail" sheetId="39" r:id="rId24"/>
    <sheet name="Downstream-Use" sheetId="26" r:id="rId25"/>
    <sheet name="Ref-Retail Inputs" sheetId="38" r:id="rId26"/>
    <sheet name="Ref-Less Than 1% Items" sheetId="51" r:id="rId27"/>
    <sheet name="Ref-GHG Protocol Scopes" sheetId="53" r:id="rId28"/>
    <sheet name="VersionHistory" sheetId="61" r:id="rId29"/>
  </sheets>
  <definedNames>
    <definedName name="brew1_abb">Welcome!$E$33</definedName>
    <definedName name="brew2_abb">Welcome!$E$36</definedName>
    <definedName name="brewery1_name">Welcome!$E$32</definedName>
    <definedName name="brewery2_name">Welcome!$E$35</definedName>
    <definedName name="company_name">Welcome!$E$30</definedName>
    <definedName name="ghg_year">Welcome!$E$38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23" l="1"/>
  <c r="B92" i="23"/>
  <c r="B114" i="36"/>
  <c r="H114" i="36"/>
  <c r="H103" i="36"/>
  <c r="B103" i="36"/>
  <c r="B90" i="36"/>
  <c r="H90" i="36"/>
  <c r="H77" i="36"/>
  <c r="B77" i="36"/>
  <c r="H64" i="36"/>
  <c r="B64" i="36"/>
  <c r="B49" i="23"/>
  <c r="B36" i="23"/>
  <c r="C9" i="34"/>
  <c r="A1" i="19"/>
  <c r="B71" i="5"/>
  <c r="B26" i="5"/>
  <c r="C145" i="1" l="1"/>
  <c r="C144" i="1"/>
  <c r="H112" i="36"/>
  <c r="B112" i="36"/>
  <c r="B75" i="1"/>
  <c r="B74" i="1"/>
  <c r="F9" i="13"/>
  <c r="C146" i="1" l="1"/>
  <c r="D30" i="14" l="1"/>
  <c r="E30" i="14" s="1"/>
  <c r="D68" i="14"/>
  <c r="D35" i="4"/>
  <c r="D12" i="4" s="1"/>
  <c r="C14" i="1"/>
  <c r="C18" i="1"/>
  <c r="G74" i="5"/>
  <c r="G75" i="5" s="1"/>
  <c r="G77" i="5" s="1"/>
  <c r="G29" i="5"/>
  <c r="E12" i="4" l="1"/>
  <c r="G30" i="5"/>
  <c r="G32" i="5" s="1"/>
  <c r="C251" i="15" l="1"/>
  <c r="C249" i="15"/>
  <c r="B149" i="15"/>
  <c r="B186" i="15"/>
  <c r="B222" i="15"/>
  <c r="I231" i="15"/>
  <c r="D231" i="15"/>
  <c r="I107" i="15"/>
  <c r="D107" i="15"/>
  <c r="C160" i="15"/>
  <c r="M160" i="15" s="1"/>
  <c r="C158" i="15"/>
  <c r="M158" i="15" s="1"/>
  <c r="C157" i="15"/>
  <c r="M157" i="15" s="1"/>
  <c r="C170" i="15" s="1"/>
  <c r="N170" i="15" s="1"/>
  <c r="C159" i="15"/>
  <c r="M159" i="15" s="1"/>
  <c r="M156" i="15"/>
  <c r="C169" i="15" s="1"/>
  <c r="N169" i="15" s="1"/>
  <c r="C154" i="15"/>
  <c r="M154" i="15" s="1"/>
  <c r="C153" i="15"/>
  <c r="M153" i="15" s="1"/>
  <c r="G189" i="15" s="1"/>
  <c r="M189" i="15" s="1"/>
  <c r="C202" i="15" s="1"/>
  <c r="H146" i="15"/>
  <c r="G146" i="15"/>
  <c r="F146" i="15"/>
  <c r="C68" i="1" s="1"/>
  <c r="E146" i="15"/>
  <c r="D146" i="15"/>
  <c r="C192" i="15" s="1"/>
  <c r="C146" i="15"/>
  <c r="I145" i="15"/>
  <c r="C155" i="15" s="1"/>
  <c r="M155" i="15" s="1"/>
  <c r="I144" i="15"/>
  <c r="I143" i="15"/>
  <c r="I226" i="15" s="1"/>
  <c r="I228" i="15" s="1"/>
  <c r="I142" i="15"/>
  <c r="D226" i="15" s="1"/>
  <c r="D228" i="15" s="1"/>
  <c r="I141" i="15"/>
  <c r="I140" i="15"/>
  <c r="I139" i="15"/>
  <c r="I138" i="15"/>
  <c r="C210" i="15" s="1"/>
  <c r="N210" i="15" s="1"/>
  <c r="I137" i="15"/>
  <c r="I136" i="15"/>
  <c r="I135" i="15"/>
  <c r="I134" i="15"/>
  <c r="C127" i="15"/>
  <c r="C125" i="15"/>
  <c r="B25" i="15"/>
  <c r="B62" i="15"/>
  <c r="E45" i="12"/>
  <c r="B45" i="12"/>
  <c r="E27" i="27"/>
  <c r="B27" i="27"/>
  <c r="E20" i="24"/>
  <c r="B20" i="24"/>
  <c r="C33" i="15"/>
  <c r="M33" i="15" s="1"/>
  <c r="C36" i="15"/>
  <c r="C35" i="15"/>
  <c r="C34" i="15"/>
  <c r="C30" i="15"/>
  <c r="C29" i="15"/>
  <c r="E54" i="52"/>
  <c r="E62" i="52" s="1"/>
  <c r="B54" i="52"/>
  <c r="B62" i="52" s="1"/>
  <c r="C67" i="1" l="1"/>
  <c r="C167" i="15"/>
  <c r="N167" i="15" s="1"/>
  <c r="C173" i="15"/>
  <c r="N173" i="15" s="1"/>
  <c r="C168" i="15"/>
  <c r="N168" i="15" s="1"/>
  <c r="C69" i="1"/>
  <c r="C171" i="15"/>
  <c r="N171" i="15" s="1"/>
  <c r="C172" i="15"/>
  <c r="N172" i="15" s="1"/>
  <c r="C166" i="15"/>
  <c r="N166" i="15" s="1"/>
  <c r="N174" i="15" s="1"/>
  <c r="G196" i="15"/>
  <c r="M196" i="15" s="1"/>
  <c r="C209" i="15" s="1"/>
  <c r="N209" i="15" s="1"/>
  <c r="G192" i="15"/>
  <c r="M192" i="15" s="1"/>
  <c r="C205" i="15" s="1"/>
  <c r="N205" i="15" s="1"/>
  <c r="G193" i="15"/>
  <c r="M193" i="15" s="1"/>
  <c r="C206" i="15" s="1"/>
  <c r="N206" i="15" s="1"/>
  <c r="G194" i="15"/>
  <c r="M194" i="15" s="1"/>
  <c r="C207" i="15" s="1"/>
  <c r="N207" i="15" s="1"/>
  <c r="G195" i="15"/>
  <c r="M195" i="15" s="1"/>
  <c r="C208" i="15" s="1"/>
  <c r="N208" i="15" s="1"/>
  <c r="G190" i="15"/>
  <c r="M190" i="15" s="1"/>
  <c r="C203" i="15" s="1"/>
  <c r="N203" i="15" s="1"/>
  <c r="G191" i="15"/>
  <c r="M191" i="15" s="1"/>
  <c r="C204" i="15" s="1"/>
  <c r="N204" i="15" s="1"/>
  <c r="N202" i="15"/>
  <c r="C161" i="15"/>
  <c r="M161" i="15"/>
  <c r="I146" i="15"/>
  <c r="C70" i="1" s="1"/>
  <c r="E68" i="1" l="1"/>
  <c r="N211" i="15"/>
  <c r="E67" i="1" s="1"/>
  <c r="M197" i="15"/>
  <c r="E7" i="27" l="1"/>
  <c r="B7" i="27"/>
  <c r="B138" i="1"/>
  <c r="B134" i="1"/>
  <c r="B141" i="1"/>
  <c r="B137" i="1"/>
  <c r="E31" i="27"/>
  <c r="B31" i="27"/>
  <c r="E24" i="27"/>
  <c r="E25" i="27"/>
  <c r="E28" i="27" s="1"/>
  <c r="E33" i="27" s="1"/>
  <c r="B25" i="27"/>
  <c r="B28" i="27" s="1"/>
  <c r="B33" i="27" s="1"/>
  <c r="E16" i="27"/>
  <c r="C139" i="1" s="1"/>
  <c r="C140" i="1" s="1"/>
  <c r="E8" i="24"/>
  <c r="C130" i="1" s="1"/>
  <c r="B8" i="24"/>
  <c r="C126" i="1" s="1"/>
  <c r="B16" i="27"/>
  <c r="C135" i="1" s="1"/>
  <c r="E13" i="27"/>
  <c r="E15" i="27" s="1"/>
  <c r="B24" i="27"/>
  <c r="B13" i="27"/>
  <c r="B15" i="27" s="1"/>
  <c r="E24" i="24"/>
  <c r="E21" i="24"/>
  <c r="E26" i="24" s="1"/>
  <c r="B24" i="24"/>
  <c r="E17" i="24"/>
  <c r="B17" i="24"/>
  <c r="B21" i="24"/>
  <c r="B26" i="24" s="1"/>
  <c r="E7" i="24"/>
  <c r="B7" i="24"/>
  <c r="E37" i="12"/>
  <c r="B37" i="12"/>
  <c r="E131" i="1" l="1"/>
  <c r="E140" i="1"/>
  <c r="E136" i="1"/>
  <c r="E127" i="1"/>
  <c r="C136" i="1"/>
  <c r="C142" i="1"/>
  <c r="E43" i="12" l="1"/>
  <c r="B19" i="12"/>
  <c r="B25" i="12" s="1"/>
  <c r="B18" i="12"/>
  <c r="B24" i="12" s="1"/>
  <c r="P25" i="35"/>
  <c r="P26" i="35"/>
  <c r="P24" i="35"/>
  <c r="P23" i="35"/>
  <c r="P22" i="35"/>
  <c r="P21" i="35"/>
  <c r="P20" i="35"/>
  <c r="P16" i="35"/>
  <c r="B43" i="12"/>
  <c r="E40" i="12"/>
  <c r="B40" i="12"/>
  <c r="E30" i="12"/>
  <c r="B30" i="12"/>
  <c r="F27" i="12"/>
  <c r="F26" i="12"/>
  <c r="F25" i="12"/>
  <c r="F24" i="12"/>
  <c r="F23" i="12"/>
  <c r="F22" i="12"/>
  <c r="F21" i="12"/>
  <c r="F20" i="12"/>
  <c r="F19" i="12"/>
  <c r="F18" i="12"/>
  <c r="F17" i="12"/>
  <c r="F16" i="12"/>
  <c r="F15" i="12"/>
  <c r="F14" i="12"/>
  <c r="F13" i="12"/>
  <c r="F12" i="12"/>
  <c r="F11" i="12"/>
  <c r="F10" i="12"/>
  <c r="F9" i="12"/>
  <c r="F8" i="12"/>
  <c r="E7" i="12"/>
  <c r="B7" i="12"/>
  <c r="P17" i="35" l="1"/>
  <c r="P27" i="35" s="1"/>
  <c r="B14" i="12" s="1"/>
  <c r="P19" i="35"/>
  <c r="P30" i="35" s="1"/>
  <c r="B17" i="12" s="1"/>
  <c r="B23" i="12" s="1"/>
  <c r="P18" i="35"/>
  <c r="P29" i="35" s="1"/>
  <c r="B16" i="12" s="1"/>
  <c r="B22" i="12" s="1"/>
  <c r="E18" i="12"/>
  <c r="E24" i="12" s="1"/>
  <c r="E19" i="12"/>
  <c r="E25" i="12" s="1"/>
  <c r="B8" i="1"/>
  <c r="B7" i="1"/>
  <c r="B9" i="4"/>
  <c r="B20" i="12" l="1"/>
  <c r="E14" i="12"/>
  <c r="E20" i="12" s="1"/>
  <c r="P28" i="35"/>
  <c r="B15" i="12" s="1"/>
  <c r="E16" i="12"/>
  <c r="E22" i="12" s="1"/>
  <c r="E17" i="12"/>
  <c r="E23" i="12" s="1"/>
  <c r="A1" i="32"/>
  <c r="A1" i="60"/>
  <c r="A1" i="31"/>
  <c r="B21" i="12" l="1"/>
  <c r="B26" i="12" s="1"/>
  <c r="B27" i="12" s="1"/>
  <c r="E15" i="12"/>
  <c r="E21" i="12" s="1"/>
  <c r="E26" i="12" s="1"/>
  <c r="E27" i="12" s="1"/>
  <c r="C75" i="1" s="1"/>
  <c r="C122" i="1"/>
  <c r="C117" i="1"/>
  <c r="C116" i="1"/>
  <c r="C115" i="1"/>
  <c r="C114" i="1"/>
  <c r="G7" i="36"/>
  <c r="H113" i="36"/>
  <c r="H102" i="36"/>
  <c r="I97" i="36"/>
  <c r="H97" i="36"/>
  <c r="H89" i="36"/>
  <c r="I84" i="36"/>
  <c r="H84" i="36"/>
  <c r="H76" i="36"/>
  <c r="H71" i="36"/>
  <c r="H63" i="36"/>
  <c r="I58" i="36"/>
  <c r="H58" i="36"/>
  <c r="H43" i="36"/>
  <c r="H44" i="36" s="1"/>
  <c r="H46" i="36" s="1"/>
  <c r="H48" i="36" s="1"/>
  <c r="E117" i="1" s="1"/>
  <c r="H32" i="36"/>
  <c r="H33" i="36" s="1"/>
  <c r="H35" i="36" s="1"/>
  <c r="H37" i="36" s="1"/>
  <c r="E116" i="1" s="1"/>
  <c r="H21" i="36"/>
  <c r="H22" i="36" s="1"/>
  <c r="H24" i="36" s="1"/>
  <c r="H26" i="36" s="1"/>
  <c r="E115" i="1" s="1"/>
  <c r="I20" i="36"/>
  <c r="I42" i="36" s="1"/>
  <c r="I31" i="36" s="1"/>
  <c r="H10" i="36"/>
  <c r="H11" i="36" s="1"/>
  <c r="H13" i="36" s="1"/>
  <c r="H15" i="36" s="1"/>
  <c r="E114" i="1" s="1"/>
  <c r="A44" i="14"/>
  <c r="A6" i="14"/>
  <c r="E38" i="52"/>
  <c r="B38" i="52"/>
  <c r="E6" i="52"/>
  <c r="B6" i="52"/>
  <c r="C13" i="34"/>
  <c r="C12" i="34"/>
  <c r="C11" i="34"/>
  <c r="C10" i="34"/>
  <c r="B30" i="1"/>
  <c r="B29" i="1"/>
  <c r="B28" i="1"/>
  <c r="B27" i="1"/>
  <c r="B26" i="1"/>
  <c r="B25" i="1"/>
  <c r="B24" i="1"/>
  <c r="B23" i="1"/>
  <c r="F17" i="34"/>
  <c r="E42" i="12" l="1"/>
  <c r="E44" i="12" s="1"/>
  <c r="E46" i="12" s="1"/>
  <c r="E75" i="1" s="1"/>
  <c r="B42" i="12"/>
  <c r="B44" i="12" s="1"/>
  <c r="B46" i="12" s="1"/>
  <c r="C74" i="1"/>
  <c r="C17" i="34"/>
  <c r="H60" i="36"/>
  <c r="C118" i="1"/>
  <c r="H73" i="36"/>
  <c r="C119" i="1"/>
  <c r="H86" i="36"/>
  <c r="C120" i="1"/>
  <c r="H99" i="36"/>
  <c r="C121" i="1"/>
  <c r="H104" i="36"/>
  <c r="H115" i="36"/>
  <c r="H116" i="36" s="1"/>
  <c r="H65" i="36"/>
  <c r="I71" i="36"/>
  <c r="H78" i="36"/>
  <c r="H91" i="36"/>
  <c r="B157" i="1"/>
  <c r="B153" i="1"/>
  <c r="B132" i="1"/>
  <c r="B128" i="1"/>
  <c r="B123" i="1"/>
  <c r="B112" i="1"/>
  <c r="B154" i="1"/>
  <c r="B150" i="1"/>
  <c r="B129" i="1"/>
  <c r="B125" i="1"/>
  <c r="B113" i="1"/>
  <c r="B102" i="1"/>
  <c r="B100" i="1"/>
  <c r="B94" i="1"/>
  <c r="B95" i="1"/>
  <c r="B89" i="1"/>
  <c r="B84" i="1"/>
  <c r="B87" i="1"/>
  <c r="B83" i="1"/>
  <c r="B80" i="1"/>
  <c r="B78" i="1"/>
  <c r="B77" i="1"/>
  <c r="B70" i="1"/>
  <c r="B65" i="1"/>
  <c r="B54" i="12" l="1"/>
  <c r="H92" i="36"/>
  <c r="E120" i="1" s="1"/>
  <c r="H79" i="36"/>
  <c r="E119" i="1" s="1"/>
  <c r="H105" i="36"/>
  <c r="E121" i="1" s="1"/>
  <c r="H66" i="36"/>
  <c r="E118" i="1" s="1"/>
  <c r="E74" i="1"/>
  <c r="E76" i="1"/>
  <c r="E122" i="1"/>
  <c r="H122" i="36" l="1"/>
  <c r="E123" i="1" s="1"/>
  <c r="B66" i="1"/>
  <c r="B61" i="1"/>
  <c r="A7" i="36"/>
  <c r="B99" i="23"/>
  <c r="A63" i="23"/>
  <c r="A7" i="23"/>
  <c r="B38" i="13"/>
  <c r="B37" i="13"/>
  <c r="B36" i="13"/>
  <c r="B35" i="13"/>
  <c r="B34" i="13"/>
  <c r="B33" i="13"/>
  <c r="B32" i="13"/>
  <c r="B31" i="13"/>
  <c r="B30" i="13"/>
  <c r="B29" i="13"/>
  <c r="B28" i="13"/>
  <c r="B27" i="13"/>
  <c r="B20" i="13"/>
  <c r="B19" i="13"/>
  <c r="B18" i="13"/>
  <c r="B17" i="13"/>
  <c r="B16" i="13"/>
  <c r="B15" i="13"/>
  <c r="B14" i="13"/>
  <c r="B13" i="13"/>
  <c r="B12" i="13"/>
  <c r="B11" i="13"/>
  <c r="B10" i="13"/>
  <c r="B9" i="13"/>
  <c r="A24" i="13"/>
  <c r="A6" i="13"/>
  <c r="C35" i="4"/>
  <c r="B98" i="15"/>
  <c r="A51" i="5"/>
  <c r="A6" i="5"/>
  <c r="L15" i="22"/>
  <c r="L7" i="22"/>
  <c r="G7" i="22"/>
  <c r="B17" i="22"/>
  <c r="B14" i="22"/>
  <c r="B7" i="22"/>
  <c r="B49" i="1"/>
  <c r="B44" i="1"/>
  <c r="B45" i="1"/>
  <c r="B40" i="1"/>
  <c r="B16" i="1"/>
  <c r="B20" i="1"/>
  <c r="B17" i="1"/>
  <c r="B13" i="1"/>
  <c r="B11" i="1"/>
  <c r="B10" i="1"/>
  <c r="B7" i="8"/>
  <c r="B24" i="8"/>
  <c r="O10" i="8"/>
  <c r="D10" i="8" s="1"/>
  <c r="O11" i="8"/>
  <c r="D11" i="8" s="1"/>
  <c r="O12" i="8"/>
  <c r="D12" i="8" s="1"/>
  <c r="O13" i="8"/>
  <c r="D13" i="8" s="1"/>
  <c r="O14" i="8"/>
  <c r="D14" i="8" s="1"/>
  <c r="O15" i="8"/>
  <c r="D15" i="8" s="1"/>
  <c r="O16" i="8"/>
  <c r="D16" i="8" s="1"/>
  <c r="O17" i="8"/>
  <c r="D17" i="8" s="1"/>
  <c r="O18" i="8"/>
  <c r="D18" i="8" s="1"/>
  <c r="O19" i="8"/>
  <c r="D19" i="8" s="1"/>
  <c r="O20" i="8"/>
  <c r="D20" i="8" s="1"/>
  <c r="B64" i="8"/>
  <c r="B63" i="8"/>
  <c r="B62" i="8"/>
  <c r="B61" i="8"/>
  <c r="B60" i="8"/>
  <c r="B59" i="8"/>
  <c r="B58" i="8"/>
  <c r="B57" i="8"/>
  <c r="B56" i="8"/>
  <c r="B55" i="8"/>
  <c r="B54" i="8"/>
  <c r="B53" i="8"/>
  <c r="N21" i="8"/>
  <c r="M21" i="8"/>
  <c r="L21" i="8"/>
  <c r="K21" i="8"/>
  <c r="J21" i="8"/>
  <c r="O9" i="8"/>
  <c r="D9" i="8" s="1"/>
  <c r="B20" i="8"/>
  <c r="B19" i="8"/>
  <c r="B18" i="8"/>
  <c r="B17" i="8"/>
  <c r="B16" i="8"/>
  <c r="B15" i="8"/>
  <c r="B14" i="8"/>
  <c r="B13" i="8"/>
  <c r="B12" i="8"/>
  <c r="B11" i="8"/>
  <c r="B10" i="8"/>
  <c r="B9" i="8"/>
  <c r="B51" i="8"/>
  <c r="A50" i="8"/>
  <c r="A6" i="8"/>
  <c r="O21" i="8" l="1"/>
  <c r="A131" i="15"/>
  <c r="A7" i="15"/>
  <c r="B7" i="34"/>
  <c r="E54" i="2"/>
  <c r="E26" i="2"/>
  <c r="E58" i="2"/>
  <c r="E30" i="2"/>
  <c r="J34" i="2"/>
  <c r="F34" i="2"/>
  <c r="B34" i="2"/>
  <c r="A33" i="2"/>
  <c r="A6" i="2"/>
  <c r="N7" i="2"/>
  <c r="J7" i="2"/>
  <c r="F7" i="2"/>
  <c r="B7" i="2"/>
  <c r="A1" i="1"/>
  <c r="G6" i="35"/>
  <c r="D6" i="35"/>
  <c r="A6" i="35"/>
  <c r="B77" i="23" l="1"/>
  <c r="B21" i="23" l="1"/>
  <c r="E71" i="52" l="1"/>
  <c r="E79" i="52" s="1"/>
  <c r="B71" i="52" l="1"/>
  <c r="B79" i="52" s="1"/>
  <c r="C24" i="1"/>
  <c r="C25" i="1"/>
  <c r="C26" i="1"/>
  <c r="C27" i="1"/>
  <c r="C28" i="1"/>
  <c r="C29" i="1"/>
  <c r="C30" i="1"/>
  <c r="C23" i="1"/>
  <c r="K49" i="35"/>
  <c r="L49" i="35" s="1"/>
  <c r="J49" i="35"/>
  <c r="E56" i="35"/>
  <c r="C31" i="1" l="1"/>
  <c r="F58" i="35" l="1"/>
  <c r="E58" i="35"/>
  <c r="F56" i="35"/>
  <c r="C99" i="1" l="1"/>
  <c r="C111" i="1" l="1"/>
  <c r="C105" i="1" l="1"/>
  <c r="B114" i="39" l="1"/>
  <c r="B116" i="39" s="1"/>
  <c r="B136" i="35" l="1"/>
  <c r="C136" i="35" s="1"/>
  <c r="B135" i="35"/>
  <c r="C135" i="35" s="1"/>
  <c r="C133" i="35"/>
  <c r="C132" i="35"/>
  <c r="B131" i="35"/>
  <c r="C131" i="35" s="1"/>
  <c r="C130" i="35"/>
  <c r="C129" i="35"/>
  <c r="C128" i="35"/>
  <c r="C127" i="35"/>
  <c r="F30" i="14" l="1"/>
  <c r="F68" i="14"/>
  <c r="D232" i="15"/>
  <c r="D233" i="15" s="1"/>
  <c r="D235" i="15" s="1"/>
  <c r="I108" i="15"/>
  <c r="D108" i="15"/>
  <c r="I232" i="15"/>
  <c r="I233" i="15" s="1"/>
  <c r="I235" i="15" s="1"/>
  <c r="B134" i="35"/>
  <c r="C134" i="35" s="1"/>
  <c r="C237" i="15" l="1"/>
  <c r="B249" i="15" l="1"/>
  <c r="E70" i="1" s="1"/>
  <c r="E69" i="1"/>
  <c r="B84" i="36" l="1"/>
  <c r="C109" i="1" s="1"/>
  <c r="C84" i="36"/>
  <c r="B89" i="36"/>
  <c r="B113" i="36"/>
  <c r="B32" i="36"/>
  <c r="B33" i="36" s="1"/>
  <c r="B35" i="36" s="1"/>
  <c r="B37" i="36" s="1"/>
  <c r="E105" i="1" s="1"/>
  <c r="B91" i="36" l="1"/>
  <c r="B115" i="36"/>
  <c r="B116" i="36" s="1"/>
  <c r="E111" i="1" s="1"/>
  <c r="B43" i="23"/>
  <c r="C93" i="1" s="1"/>
  <c r="D39" i="13" l="1"/>
  <c r="D21" i="13"/>
  <c r="F14" i="13" l="1"/>
  <c r="C77" i="1"/>
  <c r="F26" i="13"/>
  <c r="C78" i="1"/>
  <c r="B7" i="35" l="1"/>
  <c r="E7" i="35"/>
  <c r="E22" i="35" l="1"/>
  <c r="C97" i="1" l="1"/>
  <c r="C96" i="1"/>
  <c r="C19" i="1" l="1"/>
  <c r="C15" i="1"/>
  <c r="C21" i="1" l="1"/>
  <c r="C131" i="1" l="1"/>
  <c r="B43" i="36"/>
  <c r="B10" i="36"/>
  <c r="B58" i="36" l="1"/>
  <c r="C107" i="1" s="1"/>
  <c r="B71" i="36"/>
  <c r="C108" i="1" s="1"/>
  <c r="B97" i="36"/>
  <c r="C110" i="1" s="1"/>
  <c r="B21" i="36"/>
  <c r="B22" i="36" s="1"/>
  <c r="B11" i="36"/>
  <c r="B67" i="23" l="1"/>
  <c r="B11" i="23"/>
  <c r="B20" i="23" s="1"/>
  <c r="B86" i="23"/>
  <c r="C98" i="1" s="1"/>
  <c r="B70" i="23"/>
  <c r="E96" i="1" s="1"/>
  <c r="B30" i="23"/>
  <c r="C92" i="1" s="1"/>
  <c r="B14" i="23"/>
  <c r="B104" i="23"/>
  <c r="B101" i="23"/>
  <c r="B91" i="23"/>
  <c r="C86" i="23"/>
  <c r="B24" i="23" l="1"/>
  <c r="B68" i="23"/>
  <c r="B69" i="23" s="1"/>
  <c r="B76" i="23"/>
  <c r="B93" i="23"/>
  <c r="B106" i="23"/>
  <c r="B107" i="23" s="1"/>
  <c r="B88" i="23"/>
  <c r="B78" i="23" l="1"/>
  <c r="B79" i="23" s="1"/>
  <c r="B80" i="23"/>
  <c r="E97" i="1" s="1"/>
  <c r="E99" i="1"/>
  <c r="B94" i="23"/>
  <c r="E98" i="1" s="1"/>
  <c r="B113" i="23" l="1"/>
  <c r="E100" i="1" s="1"/>
  <c r="C48" i="14"/>
  <c r="K27" i="8"/>
  <c r="K28" i="8" s="1"/>
  <c r="C60" i="14"/>
  <c r="C22" i="14"/>
  <c r="C58" i="14"/>
  <c r="C71" i="14" s="1"/>
  <c r="C54" i="14"/>
  <c r="C55" i="14" s="1"/>
  <c r="C16" i="14"/>
  <c r="C10" i="14"/>
  <c r="D74" i="14"/>
  <c r="E68" i="14"/>
  <c r="G68" i="14" s="1"/>
  <c r="C59" i="14" l="1"/>
  <c r="C86" i="1"/>
  <c r="C85" i="1"/>
  <c r="G69" i="14"/>
  <c r="C72" i="14" s="1"/>
  <c r="C73" i="14" s="1"/>
  <c r="E86" i="1" s="1"/>
  <c r="B9" i="5"/>
  <c r="G9" i="5"/>
  <c r="G18" i="5"/>
  <c r="B18" i="5"/>
  <c r="B34" i="5"/>
  <c r="B54" i="5"/>
  <c r="G54" i="5"/>
  <c r="G63" i="5"/>
  <c r="B63" i="5"/>
  <c r="B79" i="5"/>
  <c r="C39" i="13" l="1"/>
  <c r="N62" i="8" l="1"/>
  <c r="D62" i="8" s="1"/>
  <c r="N63" i="8"/>
  <c r="D63" i="8" s="1"/>
  <c r="C84" i="8"/>
  <c r="C85" i="8" s="1"/>
  <c r="K71" i="8"/>
  <c r="K72" i="8" s="1"/>
  <c r="C71" i="8"/>
  <c r="N60" i="8" l="1"/>
  <c r="D60" i="8" s="1"/>
  <c r="N56" i="8"/>
  <c r="D56" i="8" s="1"/>
  <c r="N64" i="8"/>
  <c r="D64" i="8" s="1"/>
  <c r="N61" i="8"/>
  <c r="D61" i="8" s="1"/>
  <c r="N55" i="8"/>
  <c r="D55" i="8" s="1"/>
  <c r="N57" i="8"/>
  <c r="D57" i="8" s="1"/>
  <c r="N58" i="8"/>
  <c r="D58" i="8" s="1"/>
  <c r="N53" i="8"/>
  <c r="D53" i="8" s="1"/>
  <c r="N59" i="8"/>
  <c r="D59" i="8" s="1"/>
  <c r="C72" i="8"/>
  <c r="C49" i="14"/>
  <c r="N54" i="8"/>
  <c r="D54" i="8" s="1"/>
  <c r="M65" i="8"/>
  <c r="J65" i="8"/>
  <c r="K65" i="8"/>
  <c r="L65" i="8"/>
  <c r="D65" i="8" l="1"/>
  <c r="C47" i="1" s="1"/>
  <c r="F29" i="13"/>
  <c r="C50" i="14"/>
  <c r="C51" i="14" s="1"/>
  <c r="C57" i="14" s="1"/>
  <c r="C61" i="14" s="1"/>
  <c r="K69" i="8" l="1"/>
  <c r="K73" i="8" s="1"/>
  <c r="K75" i="8" s="1"/>
  <c r="E47" i="1" s="1"/>
  <c r="C48" i="1"/>
  <c r="C82" i="8"/>
  <c r="C86" i="8" s="1"/>
  <c r="C88" i="8" s="1"/>
  <c r="E48" i="1" s="1"/>
  <c r="C46" i="1"/>
  <c r="C69" i="8"/>
  <c r="E85" i="1"/>
  <c r="C77" i="14"/>
  <c r="K76" i="8" l="1"/>
  <c r="K77" i="8" s="1"/>
  <c r="C73" i="8"/>
  <c r="C75" i="8" s="1"/>
  <c r="C89" i="8"/>
  <c r="C90" i="8" s="1"/>
  <c r="E87" i="1"/>
  <c r="E46" i="1" l="1"/>
  <c r="C76" i="8"/>
  <c r="C77" i="8" s="1"/>
  <c r="K85" i="8"/>
  <c r="E49" i="1" s="1"/>
  <c r="B81" i="5" l="1"/>
  <c r="B80" i="5" l="1"/>
  <c r="G64" i="5"/>
  <c r="G66" i="5" s="1"/>
  <c r="B64" i="5"/>
  <c r="B66" i="5" s="1"/>
  <c r="G55" i="5"/>
  <c r="G57" i="5" s="1"/>
  <c r="B55" i="5"/>
  <c r="B57" i="5" s="1"/>
  <c r="B72" i="5" s="1"/>
  <c r="E18" i="1" l="1"/>
  <c r="G10" i="5" l="1"/>
  <c r="G12" i="5" s="1"/>
  <c r="L11" i="22" l="1"/>
  <c r="L8" i="22" l="1"/>
  <c r="L10" i="22" s="1"/>
  <c r="L12" i="22" s="1"/>
  <c r="L14" i="22" l="1"/>
  <c r="L16" i="22" s="1"/>
  <c r="L18" i="22" l="1"/>
  <c r="C11" i="1"/>
  <c r="E11" i="1" l="1"/>
  <c r="L19" i="22"/>
  <c r="L20" i="22" s="1"/>
  <c r="J47" i="2"/>
  <c r="F47" i="2"/>
  <c r="J46" i="2"/>
  <c r="F46" i="2"/>
  <c r="J45" i="2"/>
  <c r="F45" i="2"/>
  <c r="J44" i="2"/>
  <c r="F44" i="2"/>
  <c r="J43" i="2"/>
  <c r="F43" i="2"/>
  <c r="J42" i="2"/>
  <c r="F42" i="2"/>
  <c r="J41" i="2"/>
  <c r="F41" i="2"/>
  <c r="J40" i="2"/>
  <c r="F40" i="2"/>
  <c r="J39" i="2"/>
  <c r="F39" i="2"/>
  <c r="J38" i="2"/>
  <c r="F38" i="2"/>
  <c r="J37" i="2"/>
  <c r="F37" i="2"/>
  <c r="J36" i="2"/>
  <c r="F36" i="2"/>
  <c r="C48" i="2" l="1"/>
  <c r="K48" i="2" l="1"/>
  <c r="G48" i="2"/>
  <c r="F52" i="2" s="1"/>
  <c r="C8" i="1" l="1"/>
  <c r="F54" i="2" l="1"/>
  <c r="F55" i="2" s="1"/>
  <c r="F56" i="2" s="1"/>
  <c r="E8" i="1" l="1"/>
  <c r="E10" i="35"/>
  <c r="E19" i="35"/>
  <c r="E16" i="35"/>
  <c r="E13" i="35"/>
  <c r="H23" i="35"/>
  <c r="H20" i="35"/>
  <c r="H17" i="35"/>
  <c r="H14" i="35"/>
  <c r="H11" i="35"/>
  <c r="H8" i="35"/>
  <c r="H7" i="35"/>
  <c r="N212" i="15" l="1"/>
  <c r="N213" i="15" s="1"/>
  <c r="K67" i="1" s="1"/>
  <c r="C238" i="15"/>
  <c r="C239" i="15" s="1"/>
  <c r="K69" i="1" s="1"/>
  <c r="E35" i="27"/>
  <c r="E28" i="24"/>
  <c r="E47" i="12"/>
  <c r="E48" i="12" s="1"/>
  <c r="K75" i="1" s="1"/>
  <c r="E82" i="52"/>
  <c r="E88" i="52"/>
  <c r="E35" i="52"/>
  <c r="B81" i="23"/>
  <c r="B82" i="23" s="1"/>
  <c r="K97" i="1" s="1"/>
  <c r="B108" i="23"/>
  <c r="B109" i="23" s="1"/>
  <c r="K99" i="1" s="1"/>
  <c r="B71" i="23"/>
  <c r="B72" i="23" s="1"/>
  <c r="K96" i="1" s="1"/>
  <c r="B95" i="23"/>
  <c r="B96" i="23" s="1"/>
  <c r="K98" i="1" s="1"/>
  <c r="B114" i="23"/>
  <c r="B115" i="23" s="1"/>
  <c r="C78" i="14"/>
  <c r="C79" i="14" s="1"/>
  <c r="C74" i="14"/>
  <c r="C75" i="14" s="1"/>
  <c r="K86" i="1" s="1"/>
  <c r="C62" i="14"/>
  <c r="C63" i="14" s="1"/>
  <c r="K85" i="1" s="1"/>
  <c r="F31" i="13"/>
  <c r="K78" i="8"/>
  <c r="K79" i="8" s="1"/>
  <c r="K47" i="1" s="1"/>
  <c r="B250" i="15"/>
  <c r="C78" i="8"/>
  <c r="C79" i="8" s="1"/>
  <c r="K46" i="1" s="1"/>
  <c r="K86" i="8"/>
  <c r="K87" i="8" s="1"/>
  <c r="C91" i="8"/>
  <c r="C92" i="8" s="1"/>
  <c r="K48" i="1" s="1"/>
  <c r="B67" i="5"/>
  <c r="B68" i="5" s="1"/>
  <c r="B82" i="5"/>
  <c r="B84" i="5" s="1"/>
  <c r="B85" i="5" s="1"/>
  <c r="E19" i="1" s="1"/>
  <c r="L21" i="22"/>
  <c r="L22" i="22" s="1"/>
  <c r="K11" i="1" s="1"/>
  <c r="F57" i="2"/>
  <c r="F58" i="2" s="1"/>
  <c r="K8" i="1" s="1"/>
  <c r="B92" i="5"/>
  <c r="G67" i="5"/>
  <c r="G68" i="5" s="1"/>
  <c r="B86" i="5"/>
  <c r="G58" i="5"/>
  <c r="G59" i="5" s="1"/>
  <c r="B73" i="5"/>
  <c r="B74" i="5" s="1"/>
  <c r="K18" i="1" s="1"/>
  <c r="B58" i="5"/>
  <c r="B59" i="5" s="1"/>
  <c r="K87" i="1" l="1"/>
  <c r="K49" i="1"/>
  <c r="K100" i="1"/>
  <c r="B91" i="5"/>
  <c r="B87" i="5"/>
  <c r="K19" i="1" s="1"/>
  <c r="E20" i="1" l="1"/>
  <c r="K20" i="1"/>
  <c r="B93" i="5"/>
  <c r="B13" i="52" l="1"/>
  <c r="E13" i="52"/>
  <c r="E18" i="52" s="1"/>
  <c r="E24" i="52" s="1"/>
  <c r="E29" i="52" s="1"/>
  <c r="C79" i="35"/>
  <c r="C74" i="35"/>
  <c r="C71" i="35"/>
  <c r="C70" i="35"/>
  <c r="E48" i="52" l="1"/>
  <c r="E56" i="52" s="1"/>
  <c r="E65" i="52" s="1"/>
  <c r="E73" i="52" s="1"/>
  <c r="B48" i="52"/>
  <c r="B56" i="52" s="1"/>
  <c r="B18" i="52"/>
  <c r="B24" i="52" s="1"/>
  <c r="B29" i="52" s="1"/>
  <c r="B14" i="52"/>
  <c r="B19" i="52" s="1"/>
  <c r="E14" i="52"/>
  <c r="E19" i="52" s="1"/>
  <c r="E25" i="52" s="1"/>
  <c r="E30" i="52" s="1"/>
  <c r="B16" i="52"/>
  <c r="B21" i="52" s="1"/>
  <c r="E16" i="52"/>
  <c r="E21" i="52" s="1"/>
  <c r="E27" i="52" s="1"/>
  <c r="E32" i="52" s="1"/>
  <c r="B65" i="52" l="1"/>
  <c r="B73" i="52" s="1"/>
  <c r="B27" i="52"/>
  <c r="B32" i="52" s="1"/>
  <c r="B25" i="52"/>
  <c r="B30" i="52" s="1"/>
  <c r="C68" i="35" l="1"/>
  <c r="C72" i="35"/>
  <c r="C75" i="35"/>
  <c r="C76" i="35"/>
  <c r="C73" i="35"/>
  <c r="C77" i="35"/>
  <c r="C78" i="35"/>
  <c r="C67" i="35"/>
  <c r="B47" i="52" l="1"/>
  <c r="B55" i="52" s="1"/>
  <c r="E47" i="52"/>
  <c r="E55" i="52" s="1"/>
  <c r="E64" i="52" s="1"/>
  <c r="E72" i="52" s="1"/>
  <c r="E53" i="52"/>
  <c r="E61" i="52" s="1"/>
  <c r="E70" i="52" s="1"/>
  <c r="E78" i="52" s="1"/>
  <c r="B53" i="52"/>
  <c r="B61" i="52" s="1"/>
  <c r="B70" i="52" s="1"/>
  <c r="B78" i="52" s="1"/>
  <c r="E52" i="52"/>
  <c r="E60" i="52" s="1"/>
  <c r="E69" i="52" s="1"/>
  <c r="E77" i="52" s="1"/>
  <c r="B52" i="52"/>
  <c r="B60" i="52" s="1"/>
  <c r="E51" i="52"/>
  <c r="E59" i="52" s="1"/>
  <c r="E68" i="52" s="1"/>
  <c r="E76" i="52" s="1"/>
  <c r="B51" i="52"/>
  <c r="B59" i="52" s="1"/>
  <c r="E50" i="52"/>
  <c r="E58" i="52" s="1"/>
  <c r="B50" i="52"/>
  <c r="B58" i="52" s="1"/>
  <c r="B49" i="52"/>
  <c r="B57" i="52" s="1"/>
  <c r="B66" i="52" s="1"/>
  <c r="B74" i="52" s="1"/>
  <c r="E49" i="52"/>
  <c r="E57" i="52" s="1"/>
  <c r="E66" i="52" s="1"/>
  <c r="E74" i="52" s="1"/>
  <c r="B12" i="52"/>
  <c r="B17" i="52" s="1"/>
  <c r="E12" i="52"/>
  <c r="E17" i="52" s="1"/>
  <c r="B15" i="52"/>
  <c r="E15" i="52"/>
  <c r="E20" i="52" s="1"/>
  <c r="E26" i="52" s="1"/>
  <c r="E31" i="52" s="1"/>
  <c r="E67" i="52"/>
  <c r="E75" i="52" s="1"/>
  <c r="E80" i="52" l="1"/>
  <c r="C156" i="1" s="1"/>
  <c r="B80" i="52"/>
  <c r="C152" i="1" s="1"/>
  <c r="E23" i="52"/>
  <c r="E28" i="52" s="1"/>
  <c r="E33" i="52"/>
  <c r="C155" i="1" s="1"/>
  <c r="B23" i="52"/>
  <c r="B33" i="52"/>
  <c r="C151" i="1" s="1"/>
  <c r="E81" i="52"/>
  <c r="E34" i="52"/>
  <c r="B69" i="52"/>
  <c r="B77" i="52" s="1"/>
  <c r="B67" i="52"/>
  <c r="B75" i="52" s="1"/>
  <c r="B68" i="52"/>
  <c r="B76" i="52" s="1"/>
  <c r="B64" i="52"/>
  <c r="B72" i="52" s="1"/>
  <c r="B20" i="52"/>
  <c r="B26" i="52" s="1"/>
  <c r="B31" i="52" s="1"/>
  <c r="B28" i="52"/>
  <c r="C153" i="1" l="1"/>
  <c r="C157" i="1"/>
  <c r="C158" i="1" s="1"/>
  <c r="B81" i="52"/>
  <c r="E152" i="1" s="1"/>
  <c r="B34" i="52"/>
  <c r="E155" i="1"/>
  <c r="E83" i="52"/>
  <c r="K156" i="1" s="1"/>
  <c r="E156" i="1"/>
  <c r="D21" i="8"/>
  <c r="B87" i="52" l="1"/>
  <c r="E153" i="1" s="1"/>
  <c r="E151" i="1"/>
  <c r="E87" i="52"/>
  <c r="E157" i="1" s="1"/>
  <c r="E36" i="52"/>
  <c r="K155" i="1" s="1"/>
  <c r="K157" i="1" s="1"/>
  <c r="C43" i="1"/>
  <c r="C42" i="1"/>
  <c r="C41" i="1"/>
  <c r="C50" i="1" s="1"/>
  <c r="C38" i="8"/>
  <c r="K25" i="8"/>
  <c r="K29" i="8" s="1"/>
  <c r="K31" i="8" s="1"/>
  <c r="E42" i="1" s="1"/>
  <c r="C25" i="8"/>
  <c r="B95" i="52" l="1"/>
  <c r="E158" i="1" s="1"/>
  <c r="E89" i="52"/>
  <c r="C7" i="60" l="1"/>
  <c r="G151" i="1"/>
  <c r="G152" i="1"/>
  <c r="G156" i="1"/>
  <c r="G155" i="1"/>
  <c r="G158" i="1" l="1"/>
  <c r="C106" i="1" l="1"/>
  <c r="C104" i="1"/>
  <c r="B48" i="23" l="1"/>
  <c r="C91" i="1" l="1"/>
  <c r="B102" i="36" l="1"/>
  <c r="B104" i="36" s="1"/>
  <c r="C97" i="36"/>
  <c r="B44" i="36"/>
  <c r="B46" i="36" l="1"/>
  <c r="B48" i="36" l="1"/>
  <c r="E106" i="1" l="1"/>
  <c r="C24" i="4" l="1"/>
  <c r="B99" i="36" l="1"/>
  <c r="B105" i="36" l="1"/>
  <c r="E110" i="1" s="1"/>
  <c r="C20" i="36"/>
  <c r="C42" i="36" l="1"/>
  <c r="C31" i="36" s="1"/>
  <c r="C71" i="36"/>
  <c r="C30" i="23"/>
  <c r="F22" i="15" l="1"/>
  <c r="C63" i="1" l="1"/>
  <c r="E24" i="1" l="1"/>
  <c r="E25" i="1"/>
  <c r="E26" i="1"/>
  <c r="E27" i="1"/>
  <c r="E28" i="1"/>
  <c r="E29" i="1"/>
  <c r="E30" i="1"/>
  <c r="E23" i="1"/>
  <c r="E31" i="1" l="1"/>
  <c r="G24" i="1" l="1"/>
  <c r="G23" i="1"/>
  <c r="G25" i="1" l="1"/>
  <c r="B76" i="36" l="1"/>
  <c r="B78" i="36" l="1"/>
  <c r="C20" i="14" l="1"/>
  <c r="G19" i="5" l="1"/>
  <c r="G21" i="5" s="1"/>
  <c r="G30" i="1" l="1"/>
  <c r="G28" i="1"/>
  <c r="G29" i="1"/>
  <c r="B22" i="23" l="1"/>
  <c r="B23" i="23" s="1"/>
  <c r="E91" i="1"/>
  <c r="B50" i="23" l="1"/>
  <c r="B32" i="23"/>
  <c r="B45" i="23"/>
  <c r="E90" i="1" l="1"/>
  <c r="B51" i="23"/>
  <c r="E93" i="1" s="1"/>
  <c r="B19" i="5" l="1"/>
  <c r="B21" i="5" s="1"/>
  <c r="C58" i="36"/>
  <c r="N10" i="2" l="1"/>
  <c r="N11" i="2"/>
  <c r="N12" i="2"/>
  <c r="N13" i="2"/>
  <c r="N14" i="2"/>
  <c r="N15" i="2"/>
  <c r="N16" i="2"/>
  <c r="N17" i="2"/>
  <c r="N18" i="2"/>
  <c r="N19" i="2"/>
  <c r="N20" i="2"/>
  <c r="N9" i="2"/>
  <c r="J10" i="2"/>
  <c r="J11" i="2"/>
  <c r="J12" i="2"/>
  <c r="J13" i="2"/>
  <c r="J14" i="2"/>
  <c r="J15" i="2"/>
  <c r="J16" i="2"/>
  <c r="J17" i="2"/>
  <c r="J18" i="2"/>
  <c r="J19" i="2"/>
  <c r="J20" i="2"/>
  <c r="J9" i="2"/>
  <c r="F10" i="2"/>
  <c r="F11" i="2"/>
  <c r="F12" i="2"/>
  <c r="F13" i="2"/>
  <c r="F14" i="2"/>
  <c r="F15" i="2"/>
  <c r="F16" i="2"/>
  <c r="F17" i="2"/>
  <c r="F18" i="2"/>
  <c r="F19" i="2"/>
  <c r="F20" i="2"/>
  <c r="F9" i="2"/>
  <c r="C21" i="2" l="1"/>
  <c r="B22" i="35" l="1"/>
  <c r="H22" i="35" s="1"/>
  <c r="B19" i="35"/>
  <c r="H19" i="35" s="1"/>
  <c r="B16" i="35"/>
  <c r="H16" i="35" s="1"/>
  <c r="B13" i="35"/>
  <c r="B10" i="35"/>
  <c r="G78" i="5" l="1"/>
  <c r="G79" i="5" s="1"/>
  <c r="G33" i="5"/>
  <c r="G34" i="5" s="1"/>
  <c r="N51" i="15"/>
  <c r="N88" i="15"/>
  <c r="C114" i="15"/>
  <c r="B126" i="15"/>
  <c r="N175" i="15"/>
  <c r="N176" i="15" s="1"/>
  <c r="K68" i="1" s="1"/>
  <c r="H13" i="35"/>
  <c r="B28" i="24"/>
  <c r="B35" i="27"/>
  <c r="B47" i="12"/>
  <c r="B48" i="12" s="1"/>
  <c r="K74" i="1" s="1"/>
  <c r="H123" i="36"/>
  <c r="H124" i="36" s="1"/>
  <c r="H117" i="36"/>
  <c r="H118" i="36" s="1"/>
  <c r="K122" i="1" s="1"/>
  <c r="H106" i="36"/>
  <c r="H107" i="36" s="1"/>
  <c r="K121" i="1" s="1"/>
  <c r="H93" i="36"/>
  <c r="H94" i="36" s="1"/>
  <c r="K120" i="1" s="1"/>
  <c r="H80" i="36"/>
  <c r="H81" i="36" s="1"/>
  <c r="K119" i="1" s="1"/>
  <c r="H67" i="36"/>
  <c r="H68" i="36" s="1"/>
  <c r="K118" i="1" s="1"/>
  <c r="H49" i="36"/>
  <c r="H50" i="36" s="1"/>
  <c r="K117" i="1" s="1"/>
  <c r="H38" i="36"/>
  <c r="H39" i="36" s="1"/>
  <c r="K116" i="1" s="1"/>
  <c r="H27" i="36"/>
  <c r="H28" i="36" s="1"/>
  <c r="K115" i="1" s="1"/>
  <c r="H16" i="36"/>
  <c r="H17" i="36" s="1"/>
  <c r="K114" i="1" s="1"/>
  <c r="B93" i="36"/>
  <c r="B123" i="36"/>
  <c r="B49" i="36"/>
  <c r="B50" i="36" s="1"/>
  <c r="K106" i="1" s="1"/>
  <c r="B106" i="36"/>
  <c r="B107" i="36" s="1"/>
  <c r="K110" i="1" s="1"/>
  <c r="B38" i="36"/>
  <c r="B39" i="36" s="1"/>
  <c r="K105" i="1" s="1"/>
  <c r="B27" i="36"/>
  <c r="B16" i="36"/>
  <c r="B117" i="36"/>
  <c r="B118" i="36" s="1"/>
  <c r="K111" i="1" s="1"/>
  <c r="B80" i="36"/>
  <c r="B67" i="36"/>
  <c r="B82" i="52"/>
  <c r="B83" i="52" s="1"/>
  <c r="K152" i="1" s="1"/>
  <c r="B88" i="52"/>
  <c r="B89" i="52" s="1"/>
  <c r="B35" i="52"/>
  <c r="B36" i="52" s="1"/>
  <c r="K151" i="1" s="1"/>
  <c r="B52" i="23"/>
  <c r="B53" i="23" s="1"/>
  <c r="K93" i="1" s="1"/>
  <c r="B15" i="23"/>
  <c r="B25" i="23"/>
  <c r="B26" i="23" s="1"/>
  <c r="K91" i="1" s="1"/>
  <c r="B39" i="23"/>
  <c r="B59" i="23"/>
  <c r="C47" i="8"/>
  <c r="C34" i="8"/>
  <c r="K42" i="8"/>
  <c r="K34" i="8"/>
  <c r="H10" i="35"/>
  <c r="B47" i="5"/>
  <c r="G21" i="22"/>
  <c r="B13" i="5"/>
  <c r="B28" i="5"/>
  <c r="G13" i="5"/>
  <c r="G14" i="5" s="1"/>
  <c r="G22" i="5"/>
  <c r="G23" i="5" s="1"/>
  <c r="B22" i="5"/>
  <c r="B23" i="5" s="1"/>
  <c r="I21" i="15"/>
  <c r="C31" i="15" s="1"/>
  <c r="C37" i="15" s="1"/>
  <c r="I20" i="15"/>
  <c r="I19" i="15"/>
  <c r="I18" i="15"/>
  <c r="D102" i="15" s="1"/>
  <c r="D104" i="15" s="1"/>
  <c r="I17" i="15"/>
  <c r="I16" i="15"/>
  <c r="I15" i="15"/>
  <c r="I14" i="15"/>
  <c r="I102" i="15" l="1"/>
  <c r="I104" i="15" s="1"/>
  <c r="C64" i="1"/>
  <c r="C86" i="15"/>
  <c r="N86" i="15" s="1"/>
  <c r="B55" i="12"/>
  <c r="B56" i="12" s="1"/>
  <c r="K76" i="1" s="1"/>
  <c r="B43" i="27"/>
  <c r="B36" i="24"/>
  <c r="K123" i="1"/>
  <c r="B100" i="5"/>
  <c r="G17" i="34"/>
  <c r="H9" i="34" s="1"/>
  <c r="K153" i="1"/>
  <c r="D27" i="4"/>
  <c r="B28" i="22"/>
  <c r="B96" i="52"/>
  <c r="B97" i="52" s="1"/>
  <c r="K158" i="1" s="1"/>
  <c r="B91" i="39"/>
  <c r="B121" i="39"/>
  <c r="B134" i="39"/>
  <c r="B63" i="39"/>
  <c r="B127" i="39"/>
  <c r="B58" i="39"/>
  <c r="B43" i="26"/>
  <c r="B32" i="39"/>
  <c r="B132" i="36"/>
  <c r="B122" i="23"/>
  <c r="E86" i="14"/>
  <c r="E46" i="13"/>
  <c r="B258" i="15"/>
  <c r="E100" i="8"/>
  <c r="F68" i="2"/>
  <c r="I12" i="15"/>
  <c r="I13" i="15"/>
  <c r="H17" i="34" l="1"/>
  <c r="K31" i="1" s="1"/>
  <c r="H16" i="34"/>
  <c r="K30" i="1" s="1"/>
  <c r="H15" i="34"/>
  <c r="K29" i="1" s="1"/>
  <c r="H14" i="34"/>
  <c r="K28" i="1" s="1"/>
  <c r="H10" i="34"/>
  <c r="K24" i="1" s="1"/>
  <c r="H11" i="34"/>
  <c r="K25" i="1" s="1"/>
  <c r="H12" i="34"/>
  <c r="K26" i="1" s="1"/>
  <c r="H13" i="34"/>
  <c r="K27" i="1" s="1"/>
  <c r="D30" i="26"/>
  <c r="D26" i="26"/>
  <c r="D27" i="26"/>
  <c r="D28" i="26"/>
  <c r="D29" i="26"/>
  <c r="D31" i="26"/>
  <c r="D32" i="26"/>
  <c r="D33" i="26"/>
  <c r="D34" i="26"/>
  <c r="D35" i="26"/>
  <c r="D36" i="26"/>
  <c r="D25" i="26"/>
  <c r="C26" i="26"/>
  <c r="C27" i="26"/>
  <c r="C28" i="26"/>
  <c r="C29" i="26"/>
  <c r="C30" i="26"/>
  <c r="C31" i="26"/>
  <c r="C32" i="26"/>
  <c r="C33" i="26"/>
  <c r="C34" i="26"/>
  <c r="C35" i="26"/>
  <c r="C36" i="26"/>
  <c r="C25" i="26"/>
  <c r="B26" i="26"/>
  <c r="B27" i="26"/>
  <c r="B28" i="26"/>
  <c r="B29" i="26"/>
  <c r="B34" i="26"/>
  <c r="B35" i="26"/>
  <c r="B36" i="26"/>
  <c r="B25" i="26"/>
  <c r="C116" i="39"/>
  <c r="K23" i="1" l="1"/>
  <c r="B38" i="26"/>
  <c r="B40" i="26" l="1"/>
  <c r="B12" i="23" l="1"/>
  <c r="B13" i="23" s="1"/>
  <c r="H124" i="38" l="1"/>
  <c r="B97" i="38"/>
  <c r="B96" i="38"/>
  <c r="A90" i="38"/>
  <c r="A86" i="38"/>
  <c r="B79" i="39" s="1"/>
  <c r="H65" i="38"/>
  <c r="H67" i="38" s="1"/>
  <c r="I44" i="38"/>
  <c r="H41" i="38"/>
  <c r="H34" i="38"/>
  <c r="H35" i="38" s="1"/>
  <c r="H37" i="38" s="1"/>
  <c r="A34" i="38"/>
  <c r="B33" i="38"/>
  <c r="A33" i="38"/>
  <c r="A30" i="38"/>
  <c r="H29" i="38"/>
  <c r="H31" i="38" s="1"/>
  <c r="B28" i="38"/>
  <c r="A28" i="38"/>
  <c r="B27" i="38"/>
  <c r="A27" i="38"/>
  <c r="H21" i="38"/>
  <c r="H23" i="38" s="1"/>
  <c r="A21" i="38"/>
  <c r="B19" i="39" s="1"/>
  <c r="C114" i="39"/>
  <c r="I111" i="39"/>
  <c r="C89" i="39"/>
  <c r="C83" i="39"/>
  <c r="B83" i="39"/>
  <c r="B82" i="39"/>
  <c r="C56" i="39"/>
  <c r="C55" i="39"/>
  <c r="C41" i="26" s="1"/>
  <c r="I51" i="39"/>
  <c r="I53" i="39" s="1"/>
  <c r="B23" i="39"/>
  <c r="B22" i="39"/>
  <c r="B63" i="36"/>
  <c r="B35" i="23"/>
  <c r="D36" i="14"/>
  <c r="G30" i="14"/>
  <c r="C21" i="14"/>
  <c r="C17" i="14"/>
  <c r="I109" i="15"/>
  <c r="D109" i="15"/>
  <c r="D111" i="15" s="1"/>
  <c r="M32" i="15"/>
  <c r="C45" i="15" s="1"/>
  <c r="N45" i="15" s="1"/>
  <c r="M31" i="15"/>
  <c r="G67" i="15" s="1"/>
  <c r="M67" i="15" s="1"/>
  <c r="H22" i="15"/>
  <c r="G22" i="15"/>
  <c r="E22" i="15"/>
  <c r="D22" i="15"/>
  <c r="C22" i="15"/>
  <c r="I11" i="15"/>
  <c r="I10" i="15"/>
  <c r="C40" i="8"/>
  <c r="C41" i="8" s="1"/>
  <c r="C42" i="8" s="1"/>
  <c r="C27" i="8"/>
  <c r="B35" i="5"/>
  <c r="B10" i="22"/>
  <c r="G15" i="22"/>
  <c r="G11" i="22"/>
  <c r="O21" i="2"/>
  <c r="K21" i="2"/>
  <c r="G21" i="2"/>
  <c r="F124" i="1"/>
  <c r="D124" i="1"/>
  <c r="D101" i="1"/>
  <c r="C82" i="1"/>
  <c r="C81" i="1"/>
  <c r="C88" i="1" s="1"/>
  <c r="D71" i="1"/>
  <c r="J23" i="35"/>
  <c r="J16" i="35"/>
  <c r="J11" i="35" s="1"/>
  <c r="J10" i="35"/>
  <c r="J9" i="35"/>
  <c r="J21" i="35" s="1"/>
  <c r="F24" i="2" l="1"/>
  <c r="F64" i="2" s="1"/>
  <c r="B9" i="24"/>
  <c r="B10" i="24" s="1"/>
  <c r="B12" i="24" s="1"/>
  <c r="B14" i="24" s="1"/>
  <c r="B17" i="27"/>
  <c r="B18" i="27" s="1"/>
  <c r="B20" i="27" s="1"/>
  <c r="B21" i="27" s="1"/>
  <c r="E17" i="27"/>
  <c r="E18" i="27" s="1"/>
  <c r="E20" i="27" s="1"/>
  <c r="E21" i="27" s="1"/>
  <c r="E9" i="24"/>
  <c r="E10" i="24" s="1"/>
  <c r="E12" i="24" s="1"/>
  <c r="E14" i="24" s="1"/>
  <c r="B29" i="39"/>
  <c r="B30" i="39" s="1"/>
  <c r="B56" i="39"/>
  <c r="B117" i="39"/>
  <c r="B118" i="39" s="1"/>
  <c r="B120" i="39" s="1"/>
  <c r="B122" i="39" s="1"/>
  <c r="I22" i="15"/>
  <c r="C65" i="1" s="1"/>
  <c r="C71" i="1" s="1"/>
  <c r="C28" i="8"/>
  <c r="F17" i="13" s="1"/>
  <c r="C11" i="14"/>
  <c r="C68" i="15"/>
  <c r="C62" i="1"/>
  <c r="A29" i="38"/>
  <c r="A31" i="38" s="1"/>
  <c r="A35" i="38"/>
  <c r="A37" i="38" s="1"/>
  <c r="B21" i="39" s="1"/>
  <c r="C133" i="1"/>
  <c r="C127" i="1"/>
  <c r="C79" i="1"/>
  <c r="F15" i="13"/>
  <c r="F16" i="13" s="1"/>
  <c r="F27" i="13"/>
  <c r="F28" i="13" s="1"/>
  <c r="B10" i="5"/>
  <c r="B12" i="5" s="1"/>
  <c r="B27" i="5" s="1"/>
  <c r="B37" i="23"/>
  <c r="G8" i="22"/>
  <c r="G10" i="22" s="1"/>
  <c r="G12" i="22" s="1"/>
  <c r="G14" i="22" s="1"/>
  <c r="G16" i="22" s="1"/>
  <c r="C73" i="1"/>
  <c r="C44" i="15"/>
  <c r="N44" i="15" s="1"/>
  <c r="C80" i="15"/>
  <c r="N80" i="15" s="1"/>
  <c r="J20" i="35"/>
  <c r="G68" i="15"/>
  <c r="H43" i="38"/>
  <c r="H45" i="38" s="1"/>
  <c r="A96" i="38"/>
  <c r="A92" i="38"/>
  <c r="G31" i="14"/>
  <c r="C34" i="14" s="1"/>
  <c r="C35" i="14" s="1"/>
  <c r="E82" i="1" s="1"/>
  <c r="B65" i="36"/>
  <c r="I111" i="15"/>
  <c r="C113" i="15" s="1"/>
  <c r="M35" i="15"/>
  <c r="G71" i="15" s="1"/>
  <c r="M71" i="15" s="1"/>
  <c r="M36" i="15"/>
  <c r="G69" i="15"/>
  <c r="M69" i="15" s="1"/>
  <c r="M29" i="15"/>
  <c r="G65" i="15" s="1"/>
  <c r="M65" i="15" s="1"/>
  <c r="M30" i="15"/>
  <c r="G66" i="15" s="1"/>
  <c r="M66" i="15" s="1"/>
  <c r="M34" i="15"/>
  <c r="C44" i="8"/>
  <c r="C7" i="1" l="1"/>
  <c r="E14" i="1"/>
  <c r="G72" i="15"/>
  <c r="M72" i="15" s="1"/>
  <c r="C85" i="15" s="1"/>
  <c r="N85" i="15" s="1"/>
  <c r="M37" i="15"/>
  <c r="E130" i="1"/>
  <c r="E29" i="24"/>
  <c r="K132" i="1" s="1"/>
  <c r="E25" i="24"/>
  <c r="E27" i="24" s="1"/>
  <c r="E132" i="1" s="1"/>
  <c r="E32" i="27"/>
  <c r="E34" i="27" s="1"/>
  <c r="E139" i="1"/>
  <c r="E135" i="1"/>
  <c r="B32" i="27"/>
  <c r="B34" i="27" s="1"/>
  <c r="E126" i="1"/>
  <c r="B29" i="24"/>
  <c r="K128" i="1" s="1"/>
  <c r="B25" i="24"/>
  <c r="B27" i="24" s="1"/>
  <c r="M68" i="15"/>
  <c r="C81" i="15" s="1"/>
  <c r="N81" i="15" s="1"/>
  <c r="C12" i="14"/>
  <c r="C13" i="14" s="1"/>
  <c r="C19" i="14" s="1"/>
  <c r="C23" i="14" s="1"/>
  <c r="C39" i="14" s="1"/>
  <c r="F18" i="13"/>
  <c r="C29" i="8"/>
  <c r="C31" i="8" s="1"/>
  <c r="K41" i="8" s="1"/>
  <c r="B20" i="39"/>
  <c r="B24" i="39" s="1"/>
  <c r="A43" i="38"/>
  <c r="A45" i="38" s="1"/>
  <c r="G18" i="22"/>
  <c r="C10" i="1"/>
  <c r="C12" i="1" s="1"/>
  <c r="C45" i="8"/>
  <c r="C46" i="8" s="1"/>
  <c r="E43" i="1"/>
  <c r="B38" i="23"/>
  <c r="B58" i="23" s="1"/>
  <c r="F30" i="13"/>
  <c r="C9" i="1"/>
  <c r="C43" i="15"/>
  <c r="N43" i="15" s="1"/>
  <c r="A97" i="38"/>
  <c r="A98" i="38" s="1"/>
  <c r="B81" i="39" s="1"/>
  <c r="A94" i="38"/>
  <c r="B88" i="39"/>
  <c r="C48" i="15"/>
  <c r="N48" i="15" s="1"/>
  <c r="C84" i="15"/>
  <c r="N84" i="15" s="1"/>
  <c r="C49" i="15"/>
  <c r="N49" i="15" s="1"/>
  <c r="C46" i="15"/>
  <c r="N46" i="15" s="1"/>
  <c r="C82" i="15"/>
  <c r="N82" i="15" s="1"/>
  <c r="C42" i="15"/>
  <c r="N42" i="15" s="1"/>
  <c r="C78" i="15"/>
  <c r="N78" i="15" s="1"/>
  <c r="C79" i="15"/>
  <c r="N79" i="15" s="1"/>
  <c r="G70" i="15"/>
  <c r="M70" i="15" s="1"/>
  <c r="C47" i="15"/>
  <c r="N47" i="15" s="1"/>
  <c r="C90" i="1"/>
  <c r="C101" i="1" s="1"/>
  <c r="E137" i="1" l="1"/>
  <c r="B42" i="27"/>
  <c r="B36" i="27"/>
  <c r="K137" i="1" s="1"/>
  <c r="E141" i="1"/>
  <c r="E36" i="27"/>
  <c r="K141" i="1" s="1"/>
  <c r="E128" i="1"/>
  <c r="B35" i="24"/>
  <c r="B26" i="39"/>
  <c r="B31" i="39"/>
  <c r="E83" i="1"/>
  <c r="E81" i="1"/>
  <c r="C32" i="8"/>
  <c r="C33" i="8" s="1"/>
  <c r="E41" i="1"/>
  <c r="B121" i="23"/>
  <c r="E94" i="1"/>
  <c r="B25" i="22"/>
  <c r="E10" i="1"/>
  <c r="G19" i="22"/>
  <c r="G20" i="22" s="1"/>
  <c r="E44" i="1"/>
  <c r="E97" i="8"/>
  <c r="E45" i="13"/>
  <c r="E79" i="1" s="1"/>
  <c r="C9" i="60" s="1"/>
  <c r="E77" i="1"/>
  <c r="F32" i="13"/>
  <c r="K78" i="1" s="1"/>
  <c r="E78" i="1"/>
  <c r="E92" i="1"/>
  <c r="B60" i="23"/>
  <c r="E64" i="1"/>
  <c r="F33" i="13"/>
  <c r="E85" i="14"/>
  <c r="F26" i="2"/>
  <c r="F65" i="2" s="1"/>
  <c r="B29" i="5"/>
  <c r="K14" i="1" s="1"/>
  <c r="K32" i="8"/>
  <c r="K33" i="8" s="1"/>
  <c r="C103" i="1"/>
  <c r="C124" i="1" s="1"/>
  <c r="B55" i="39"/>
  <c r="B57" i="39" s="1"/>
  <c r="B80" i="39"/>
  <c r="B84" i="39" s="1"/>
  <c r="A105" i="38"/>
  <c r="N50" i="15"/>
  <c r="E63" i="1" s="1"/>
  <c r="C83" i="15"/>
  <c r="N83" i="15" s="1"/>
  <c r="N87" i="15" s="1"/>
  <c r="B125" i="15" s="1"/>
  <c r="B257" i="15" s="1"/>
  <c r="M73" i="15"/>
  <c r="F21" i="13"/>
  <c r="E142" i="1" l="1"/>
  <c r="C4" i="60" s="1"/>
  <c r="B44" i="27"/>
  <c r="K142" i="1" s="1"/>
  <c r="E133" i="1"/>
  <c r="B37" i="24"/>
  <c r="K133" i="1" s="1"/>
  <c r="D22" i="4"/>
  <c r="E22" i="4" s="1"/>
  <c r="D14" i="4"/>
  <c r="E14" i="4" s="1"/>
  <c r="D21" i="4"/>
  <c r="E21" i="4" s="1"/>
  <c r="D13" i="4"/>
  <c r="D20" i="4"/>
  <c r="E20" i="4" s="1"/>
  <c r="D17" i="4"/>
  <c r="E17" i="4" s="1"/>
  <c r="D16" i="4"/>
  <c r="E16" i="4" s="1"/>
  <c r="D18" i="4"/>
  <c r="E18" i="4" s="1"/>
  <c r="D23" i="4"/>
  <c r="E23" i="4" s="1"/>
  <c r="D15" i="4"/>
  <c r="E15" i="4" s="1"/>
  <c r="D19" i="4"/>
  <c r="E19" i="4" s="1"/>
  <c r="B89" i="39"/>
  <c r="B90" i="39" s="1"/>
  <c r="B126" i="39" s="1"/>
  <c r="B128" i="39" s="1"/>
  <c r="E47" i="13"/>
  <c r="K79" i="1" s="1"/>
  <c r="F27" i="2"/>
  <c r="F28" i="2" s="1"/>
  <c r="E7" i="1"/>
  <c r="E12" i="1"/>
  <c r="B29" i="22"/>
  <c r="K12" i="1" s="1"/>
  <c r="B26" i="22"/>
  <c r="B27" i="22" s="1"/>
  <c r="E87" i="14"/>
  <c r="K88" i="1" s="1"/>
  <c r="E88" i="1"/>
  <c r="C8" i="60" s="1"/>
  <c r="E50" i="1"/>
  <c r="E101" i="8"/>
  <c r="K50" i="1" s="1"/>
  <c r="B123" i="23"/>
  <c r="K101" i="1" s="1"/>
  <c r="E101" i="1"/>
  <c r="C3" i="60" s="1"/>
  <c r="G77" i="1"/>
  <c r="G78" i="1"/>
  <c r="B62" i="39"/>
  <c r="E144" i="1" s="1"/>
  <c r="B60" i="36"/>
  <c r="B66" i="36" s="1"/>
  <c r="E107" i="1" s="1"/>
  <c r="B13" i="36"/>
  <c r="B15" i="36" s="1"/>
  <c r="E62" i="1"/>
  <c r="C76" i="1"/>
  <c r="B41" i="26"/>
  <c r="B42" i="26" s="1"/>
  <c r="G79" i="1"/>
  <c r="E13" i="4" l="1"/>
  <c r="D24" i="4"/>
  <c r="E65" i="1"/>
  <c r="G140" i="1"/>
  <c r="G136" i="1"/>
  <c r="G135" i="1"/>
  <c r="G139" i="1"/>
  <c r="E24" i="4"/>
  <c r="D26" i="4"/>
  <c r="E73" i="1" s="1"/>
  <c r="E145" i="1"/>
  <c r="G93" i="1"/>
  <c r="G92" i="1"/>
  <c r="G86" i="1"/>
  <c r="G10" i="1"/>
  <c r="G91" i="1"/>
  <c r="G11" i="1"/>
  <c r="C9" i="31"/>
  <c r="G97" i="1"/>
  <c r="G96" i="1"/>
  <c r="G99" i="1"/>
  <c r="G98" i="1"/>
  <c r="G90" i="1"/>
  <c r="G85" i="1"/>
  <c r="G82" i="1"/>
  <c r="G81" i="1"/>
  <c r="F66" i="2"/>
  <c r="F67" i="2" s="1"/>
  <c r="E9" i="1"/>
  <c r="G8" i="1" s="1"/>
  <c r="B133" i="39"/>
  <c r="E146" i="1" s="1"/>
  <c r="E103" i="1"/>
  <c r="B24" i="36"/>
  <c r="B26" i="36" s="1"/>
  <c r="E52" i="1"/>
  <c r="C3" i="31"/>
  <c r="E98" i="8"/>
  <c r="E99" i="8" s="1"/>
  <c r="F69" i="2"/>
  <c r="K9" i="1" s="1"/>
  <c r="B73" i="36"/>
  <c r="B79" i="36" s="1"/>
  <c r="E108" i="1" s="1"/>
  <c r="E149" i="1"/>
  <c r="C148" i="1"/>
  <c r="C149" i="1" s="1"/>
  <c r="G142" i="1" l="1"/>
  <c r="C7" i="31"/>
  <c r="G73" i="1"/>
  <c r="G7" i="1"/>
  <c r="G9" i="1" s="1"/>
  <c r="K52" i="1"/>
  <c r="G12" i="1"/>
  <c r="G101" i="1"/>
  <c r="G88" i="1"/>
  <c r="C4" i="31"/>
  <c r="H41" i="1"/>
  <c r="G46" i="1"/>
  <c r="G43" i="1"/>
  <c r="H48" i="1"/>
  <c r="G47" i="1"/>
  <c r="H46" i="1"/>
  <c r="G48" i="1"/>
  <c r="H47" i="1"/>
  <c r="H43" i="1"/>
  <c r="G42" i="1"/>
  <c r="H42" i="1"/>
  <c r="E104" i="1"/>
  <c r="B28" i="36"/>
  <c r="G74" i="1"/>
  <c r="G41" i="1"/>
  <c r="E53" i="1"/>
  <c r="B81" i="36"/>
  <c r="K108" i="1" s="1"/>
  <c r="G145" i="1"/>
  <c r="C3" i="32"/>
  <c r="G75" i="1"/>
  <c r="E148" i="1"/>
  <c r="C4" i="32"/>
  <c r="G144" i="1"/>
  <c r="C6" i="31"/>
  <c r="G26" i="1"/>
  <c r="G27" i="1"/>
  <c r="G76" i="1" l="1"/>
  <c r="K104" i="1"/>
  <c r="B86" i="36"/>
  <c r="B92" i="36" s="1"/>
  <c r="E109" i="1" s="1"/>
  <c r="G50" i="1"/>
  <c r="H50" i="1"/>
  <c r="G31" i="1"/>
  <c r="G146" i="1"/>
  <c r="G148" i="1"/>
  <c r="G149" i="1" s="1"/>
  <c r="B94" i="36" l="1"/>
  <c r="K109" i="1" s="1"/>
  <c r="B122" i="36"/>
  <c r="B131" i="36" s="1"/>
  <c r="E124" i="1" s="1"/>
  <c r="C5" i="60" s="1"/>
  <c r="C5" i="32"/>
  <c r="C7" i="32" s="1"/>
  <c r="E112" i="1" l="1"/>
  <c r="B3" i="32"/>
  <c r="B133" i="36" l="1"/>
  <c r="K124" i="1" s="1"/>
  <c r="B5" i="32"/>
  <c r="B4" i="32"/>
  <c r="G120" i="1" l="1"/>
  <c r="G116" i="1"/>
  <c r="G115" i="1"/>
  <c r="G121" i="1"/>
  <c r="G117" i="1"/>
  <c r="G119" i="1"/>
  <c r="G122" i="1"/>
  <c r="G118" i="1"/>
  <c r="G114" i="1"/>
  <c r="G111" i="1"/>
  <c r="G105" i="1"/>
  <c r="G109" i="1"/>
  <c r="G106" i="1"/>
  <c r="G110" i="1"/>
  <c r="G107" i="1"/>
  <c r="G108" i="1"/>
  <c r="G104" i="1"/>
  <c r="G103" i="1"/>
  <c r="G124" i="1" l="1"/>
  <c r="B36" i="5" l="1"/>
  <c r="B37" i="5"/>
  <c r="B39" i="5" s="1"/>
  <c r="B40" i="5" s="1"/>
  <c r="E15" i="1" s="1"/>
  <c r="B46" i="5" l="1"/>
  <c r="C24" i="14"/>
  <c r="C25" i="14" s="1"/>
  <c r="K81" i="1" s="1"/>
  <c r="F29" i="2"/>
  <c r="B127" i="15"/>
  <c r="K65" i="1" s="1"/>
  <c r="K43" i="8"/>
  <c r="C115" i="15"/>
  <c r="K64" i="1" s="1"/>
  <c r="B41" i="5"/>
  <c r="B42" i="5" s="1"/>
  <c r="K15" i="1" s="1"/>
  <c r="B92" i="39"/>
  <c r="K35" i="8"/>
  <c r="K42" i="1" s="1"/>
  <c r="K145" i="1"/>
  <c r="B33" i="39"/>
  <c r="C48" i="8"/>
  <c r="K43" i="1" s="1"/>
  <c r="B17" i="36"/>
  <c r="K103" i="1" s="1"/>
  <c r="C36" i="14"/>
  <c r="C37" i="14" s="1"/>
  <c r="K82" i="1" s="1"/>
  <c r="N89" i="15"/>
  <c r="K62" i="1" s="1"/>
  <c r="B16" i="23"/>
  <c r="K90" i="1" s="1"/>
  <c r="B64" i="39"/>
  <c r="K144" i="1" s="1"/>
  <c r="D28" i="4"/>
  <c r="K73" i="1" s="1"/>
  <c r="N52" i="15"/>
  <c r="K63" i="1" s="1"/>
  <c r="C40" i="14"/>
  <c r="C41" i="14" s="1"/>
  <c r="B40" i="23"/>
  <c r="K92" i="1" s="1"/>
  <c r="B135" i="39"/>
  <c r="K146" i="1" s="1"/>
  <c r="G22" i="22"/>
  <c r="F19" i="13"/>
  <c r="F20" i="13" s="1"/>
  <c r="B14" i="5"/>
  <c r="B68" i="36"/>
  <c r="K107" i="1" s="1"/>
  <c r="C35" i="8"/>
  <c r="K41" i="1" s="1"/>
  <c r="B59" i="39"/>
  <c r="E16" i="1" l="1"/>
  <c r="B99" i="5"/>
  <c r="K44" i="1"/>
  <c r="K112" i="1"/>
  <c r="K16" i="1"/>
  <c r="K94" i="1"/>
  <c r="K83" i="1"/>
  <c r="K10" i="1"/>
  <c r="K77" i="1"/>
  <c r="B124" i="36"/>
  <c r="F30" i="2"/>
  <c r="K7" i="1" s="1"/>
  <c r="B44" i="26"/>
  <c r="B48" i="5"/>
  <c r="K149" i="1" l="1"/>
  <c r="K148" i="1"/>
  <c r="B101" i="5"/>
  <c r="K21" i="1" s="1"/>
  <c r="E21" i="1"/>
  <c r="E33" i="1" s="1"/>
  <c r="I8" i="1" l="1"/>
  <c r="H8" i="1"/>
  <c r="H7" i="1"/>
  <c r="I7" i="1"/>
  <c r="K33" i="1"/>
  <c r="C5" i="31"/>
  <c r="C6" i="60"/>
  <c r="G15" i="1"/>
  <c r="G14" i="1"/>
  <c r="G19" i="1"/>
  <c r="G18" i="1"/>
  <c r="C11" i="60" l="1"/>
  <c r="I21" i="1"/>
  <c r="G126" i="1"/>
  <c r="G130" i="1"/>
  <c r="G127" i="1"/>
  <c r="G131" i="1"/>
  <c r="I26" i="1"/>
  <c r="E34" i="1"/>
  <c r="H27" i="1"/>
  <c r="I28" i="1"/>
  <c r="I24" i="1"/>
  <c r="I12" i="1"/>
  <c r="I25" i="1"/>
  <c r="I27" i="1"/>
  <c r="H28" i="1"/>
  <c r="H23" i="1"/>
  <c r="H12" i="1"/>
  <c r="H29" i="1"/>
  <c r="I52" i="1"/>
  <c r="H30" i="1"/>
  <c r="I29" i="1"/>
  <c r="I9" i="1"/>
  <c r="H15" i="1"/>
  <c r="I11" i="1"/>
  <c r="H26" i="1"/>
  <c r="I31" i="1"/>
  <c r="H24" i="1"/>
  <c r="H31" i="1"/>
  <c r="I30" i="1"/>
  <c r="H25" i="1"/>
  <c r="G21" i="1"/>
  <c r="H19" i="1"/>
  <c r="I23" i="1"/>
  <c r="I19" i="1"/>
  <c r="I10" i="1"/>
  <c r="I48" i="1"/>
  <c r="I50" i="1"/>
  <c r="I46" i="1"/>
  <c r="I18" i="1"/>
  <c r="K34" i="1"/>
  <c r="I43" i="1"/>
  <c r="I33" i="1"/>
  <c r="I42" i="1"/>
  <c r="I47" i="1"/>
  <c r="H14" i="1"/>
  <c r="H18" i="1"/>
  <c r="I41" i="1"/>
  <c r="I14" i="1"/>
  <c r="H9" i="1"/>
  <c r="I15" i="1"/>
  <c r="H11" i="1"/>
  <c r="H21" i="1"/>
  <c r="H10" i="1"/>
  <c r="B7" i="60" l="1"/>
  <c r="B9" i="60"/>
  <c r="B3" i="60"/>
  <c r="B8" i="60"/>
  <c r="B4" i="60"/>
  <c r="B5" i="60"/>
  <c r="B6" i="60"/>
  <c r="I55" i="1"/>
  <c r="G133" i="1"/>
  <c r="H33" i="1"/>
  <c r="N65" i="8" l="1"/>
  <c r="B251" i="15" l="1"/>
  <c r="K70" i="1" s="1"/>
  <c r="B259" i="15"/>
  <c r="K71" i="1" l="1"/>
  <c r="K159" i="1" s="1"/>
  <c r="E71" i="1"/>
  <c r="E159" i="1" s="1"/>
  <c r="K160" i="1" s="1"/>
  <c r="G62" i="1" l="1"/>
  <c r="G63" i="1"/>
  <c r="G68" i="1"/>
  <c r="G64" i="1"/>
  <c r="G67" i="1"/>
  <c r="G69" i="1"/>
  <c r="C8" i="31"/>
  <c r="C11" i="31" s="1"/>
  <c r="H139" i="1" l="1"/>
  <c r="H135" i="1"/>
  <c r="H140" i="1"/>
  <c r="H136" i="1"/>
  <c r="H121" i="1"/>
  <c r="H117" i="1"/>
  <c r="H122" i="1"/>
  <c r="H118" i="1"/>
  <c r="H114" i="1"/>
  <c r="H120" i="1"/>
  <c r="H116" i="1"/>
  <c r="H119" i="1"/>
  <c r="H115" i="1"/>
  <c r="H111" i="1"/>
  <c r="H67" i="1"/>
  <c r="H99" i="1"/>
  <c r="H93" i="1"/>
  <c r="H71" i="1"/>
  <c r="H107" i="1"/>
  <c r="H88" i="1"/>
  <c r="H152" i="1"/>
  <c r="H126" i="1"/>
  <c r="H69" i="1"/>
  <c r="H146" i="1"/>
  <c r="H77" i="1"/>
  <c r="H82" i="1"/>
  <c r="H151" i="1"/>
  <c r="H97" i="1"/>
  <c r="H110" i="1"/>
  <c r="H133" i="1"/>
  <c r="H106" i="1"/>
  <c r="H96" i="1"/>
  <c r="H91" i="1"/>
  <c r="H130" i="1"/>
  <c r="H98" i="1"/>
  <c r="H109" i="1"/>
  <c r="H142" i="1"/>
  <c r="H148" i="1"/>
  <c r="H62" i="1"/>
  <c r="H131" i="1"/>
  <c r="H104" i="1"/>
  <c r="H75" i="1"/>
  <c r="H79" i="1"/>
  <c r="H85" i="1"/>
  <c r="H86" i="1"/>
  <c r="H73" i="1"/>
  <c r="H145" i="1"/>
  <c r="E164" i="1"/>
  <c r="J158" i="1" s="1"/>
  <c r="H63" i="1"/>
  <c r="H81" i="1"/>
  <c r="H149" i="1"/>
  <c r="H103" i="1"/>
  <c r="H101" i="1"/>
  <c r="E160" i="1"/>
  <c r="H156" i="1"/>
  <c r="H76" i="1"/>
  <c r="H144" i="1"/>
  <c r="H92" i="1"/>
  <c r="H90" i="1"/>
  <c r="H158" i="1"/>
  <c r="H155" i="1"/>
  <c r="H64" i="1"/>
  <c r="H105" i="1"/>
  <c r="H78" i="1"/>
  <c r="H124" i="1"/>
  <c r="H74" i="1"/>
  <c r="H127" i="1"/>
  <c r="H68" i="1"/>
  <c r="H108" i="1"/>
  <c r="G71" i="1"/>
  <c r="B5" i="31"/>
  <c r="B6" i="31"/>
  <c r="B3" i="31"/>
  <c r="B7" i="31"/>
  <c r="B4" i="31"/>
  <c r="B9" i="31"/>
  <c r="B8" i="31"/>
  <c r="J135" i="1" l="1"/>
  <c r="J139" i="1"/>
  <c r="J140" i="1"/>
  <c r="J136" i="1"/>
  <c r="J8" i="1"/>
  <c r="J7" i="1"/>
  <c r="J124" i="1"/>
  <c r="C11" i="19" s="1"/>
  <c r="C12" i="60"/>
  <c r="C13" i="60" s="1"/>
  <c r="J122" i="1"/>
  <c r="J118" i="1"/>
  <c r="J114" i="1"/>
  <c r="J121" i="1"/>
  <c r="J119" i="1"/>
  <c r="J115" i="1"/>
  <c r="J120" i="1"/>
  <c r="J116" i="1"/>
  <c r="J117" i="1"/>
  <c r="J14" i="1"/>
  <c r="J104" i="1"/>
  <c r="J98" i="1"/>
  <c r="J142" i="1"/>
  <c r="C9" i="19" s="1"/>
  <c r="C8" i="32"/>
  <c r="C9" i="32" s="1"/>
  <c r="J64" i="1"/>
  <c r="J46" i="1"/>
  <c r="C12" i="31"/>
  <c r="C13" i="31" s="1"/>
  <c r="J48" i="1"/>
  <c r="J41" i="1"/>
  <c r="J67" i="1"/>
  <c r="J151" i="1"/>
  <c r="J79" i="1"/>
  <c r="C19" i="19" s="1"/>
  <c r="J93" i="1"/>
  <c r="J19" i="1"/>
  <c r="J52" i="1"/>
  <c r="J109" i="1"/>
  <c r="J10" i="1"/>
  <c r="J69" i="1"/>
  <c r="J126" i="1"/>
  <c r="J77" i="1"/>
  <c r="J28" i="1"/>
  <c r="J75" i="1"/>
  <c r="J29" i="1"/>
  <c r="C14" i="19"/>
  <c r="J62" i="1"/>
  <c r="J25" i="1"/>
  <c r="J26" i="1"/>
  <c r="J155" i="1"/>
  <c r="J159" i="1"/>
  <c r="H160" i="1"/>
  <c r="J24" i="1"/>
  <c r="J23" i="1"/>
  <c r="J92" i="1"/>
  <c r="J101" i="1"/>
  <c r="C8" i="19" s="1"/>
  <c r="J12" i="1"/>
  <c r="C6" i="19" s="1"/>
  <c r="J11" i="1"/>
  <c r="J131" i="1"/>
  <c r="J30" i="1"/>
  <c r="J15" i="1"/>
  <c r="J111" i="1"/>
  <c r="J148" i="1"/>
  <c r="J18" i="1"/>
  <c r="J74" i="1"/>
  <c r="J47" i="1"/>
  <c r="J96" i="1"/>
  <c r="J43" i="1"/>
  <c r="J31" i="1"/>
  <c r="C5" i="19" s="1"/>
  <c r="J76" i="1"/>
  <c r="C10" i="19" s="1"/>
  <c r="J42" i="1"/>
  <c r="J81" i="1"/>
  <c r="J145" i="1"/>
  <c r="J108" i="1"/>
  <c r="J105" i="1"/>
  <c r="J88" i="1"/>
  <c r="C16" i="19" s="1"/>
  <c r="J90" i="1"/>
  <c r="J78" i="1"/>
  <c r="J50" i="1"/>
  <c r="C7" i="19" s="1"/>
  <c r="D7" i="19" s="1"/>
  <c r="J97" i="1"/>
  <c r="J130" i="1"/>
  <c r="J82" i="1"/>
  <c r="J133" i="1"/>
  <c r="C13" i="19" s="1"/>
  <c r="J91" i="1"/>
  <c r="J107" i="1"/>
  <c r="J149" i="1"/>
  <c r="C15" i="19" s="1"/>
  <c r="J99" i="1"/>
  <c r="J127" i="1"/>
  <c r="J21" i="1"/>
  <c r="C4" i="19" s="1"/>
  <c r="J63" i="1"/>
  <c r="J68" i="1"/>
  <c r="J146" i="1"/>
  <c r="C12" i="19" s="1"/>
  <c r="J156" i="1"/>
  <c r="J110" i="1"/>
  <c r="J85" i="1"/>
  <c r="J103" i="1"/>
  <c r="J71" i="1"/>
  <c r="C18" i="19" s="1"/>
  <c r="J73" i="1"/>
  <c r="C17" i="19" s="1"/>
  <c r="J27" i="1"/>
  <c r="J33" i="1"/>
  <c r="J152" i="1"/>
  <c r="J9" i="1"/>
  <c r="C3" i="19" s="1"/>
  <c r="J144" i="1"/>
  <c r="J86" i="1"/>
  <c r="E165" i="1"/>
  <c r="J106" i="1"/>
  <c r="C21" i="19" l="1"/>
  <c r="J165" i="1"/>
  <c r="D8" i="19"/>
  <c r="D3" i="19"/>
  <c r="D21"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Foster</author>
  </authors>
  <commentList>
    <comment ref="C9" authorId="0" shapeId="0" xr:uid="{1E174C08-70D0-CF46-B6A6-D4827D6FC7B6}">
      <text>
        <r>
          <rPr>
            <sz val="10"/>
            <color rgb="FF000000"/>
            <rFont val="Tahoma"/>
            <family val="2"/>
          </rPr>
          <t>Calculation is different for all-electric</t>
        </r>
      </text>
    </comment>
    <comment ref="E9" authorId="0" shapeId="0" xr:uid="{DE55F4FC-255A-2A46-84AC-1F99CA08E551}">
      <text>
        <r>
          <rPr>
            <b/>
            <sz val="10"/>
            <color rgb="FF000000"/>
            <rFont val="Tahoma"/>
            <family val="2"/>
          </rPr>
          <t>For all electric, this is kg/mile</t>
        </r>
      </text>
    </comment>
  </commentList>
</comments>
</file>

<file path=xl/sharedStrings.xml><?xml version="1.0" encoding="utf-8"?>
<sst xmlns="http://schemas.openxmlformats.org/spreadsheetml/2006/main" count="3398" uniqueCount="1317">
  <si>
    <t>Welcome to the Drink Sustainably GHG Accounting Tool!</t>
  </si>
  <si>
    <t>Provided as a free resource for craft brewers from New Belgium Brewing</t>
  </si>
  <si>
    <t xml:space="preserve">This tool is designed to provide small and medium-sized brewers with a self-service method to estimate their greenhouse gas (GHG) emissions footprint. This tool is not to be used or adapted for other purposes or by other entities. </t>
  </si>
  <si>
    <t>ORIENTATION</t>
  </si>
  <si>
    <t>Throughout this workbook, each tab contains either data inputs, reports, or reference material. Tabs are organized into 5 color-coded sections:</t>
  </si>
  <si>
    <t>TAB COLOR</t>
  </si>
  <si>
    <t>TYPE</t>
  </si>
  <si>
    <t>CONTENTS</t>
  </si>
  <si>
    <t>REPORT</t>
  </si>
  <si>
    <t>Tabs are output-only, dynamically generated summaries of your brewery emissions</t>
  </si>
  <si>
    <t>BREWERY OPERATIONS</t>
  </si>
  <si>
    <t>Tabs are for inputs related to activities within the brewery</t>
  </si>
  <si>
    <t>UPSTREAM</t>
  </si>
  <si>
    <t>For inputs related to activities that happen prior to arrival at the brewery</t>
  </si>
  <si>
    <t>DOWNSTREAM</t>
  </si>
  <si>
    <t>For inputs related to activities after departure from the brewery</t>
  </si>
  <si>
    <t>REFERENCES</t>
  </si>
  <si>
    <t>Contain reference values and overall guidance</t>
  </si>
  <si>
    <t>Within each tab, cells are color-coded to indicate where data inputs are required by the user and where data is being automatically calculated:</t>
  </si>
  <si>
    <t>CELL COLOR</t>
  </si>
  <si>
    <t>DATA TYPE</t>
  </si>
  <si>
    <t>INSTRUCTIONS</t>
  </si>
  <si>
    <t>Yellow, Black Text</t>
  </si>
  <si>
    <t>Manually Entered Data</t>
  </si>
  <si>
    <r>
      <rPr>
        <b/>
        <sz val="11"/>
        <color rgb="FF000000"/>
        <rFont val="Calibri"/>
        <family val="2"/>
        <scheme val="minor"/>
      </rPr>
      <t xml:space="preserve">INPUT REQUIRED. </t>
    </r>
    <r>
      <rPr>
        <sz val="11"/>
        <color rgb="FF000000"/>
        <rFont val="Calibri"/>
        <family val="2"/>
        <scheme val="minor"/>
      </rPr>
      <t>Data to be input annually based on brewery-specific information. Many yellow cells currently contain "placeholder" values for demonstration purposes which should be updated with your brewery data.</t>
    </r>
  </si>
  <si>
    <t>Yellow, Red Text</t>
  </si>
  <si>
    <r>
      <rPr>
        <b/>
        <sz val="11"/>
        <color rgb="FFFF3300"/>
        <rFont val="Calibri"/>
        <family val="2"/>
        <scheme val="minor"/>
      </rPr>
      <t xml:space="preserve">INPUT OPTIONAL. </t>
    </r>
    <r>
      <rPr>
        <sz val="11"/>
        <color rgb="FFFF3300"/>
        <rFont val="Calibri"/>
        <family val="2"/>
        <scheme val="minor"/>
      </rPr>
      <t xml:space="preserve"> These cells contain data which New Belgium has provided based on our experience. If your brewery has a different value, it can be input instead. Otherwise values in these cells are a reasonable estimation.</t>
    </r>
  </si>
  <si>
    <t>Green, Black Text</t>
  </si>
  <si>
    <r>
      <t>Emission Factor</t>
    </r>
    <r>
      <rPr>
        <i/>
        <sz val="9"/>
        <rFont val="Calibri"/>
        <family val="2"/>
      </rPr>
      <t xml:space="preserve">
various units of measurement</t>
    </r>
  </si>
  <si>
    <r>
      <rPr>
        <b/>
        <sz val="11"/>
        <color rgb="FF000000"/>
        <rFont val="Calibri"/>
        <family val="2"/>
        <scheme val="minor"/>
      </rPr>
      <t>INPUT REQUIRED.</t>
    </r>
    <r>
      <rPr>
        <sz val="11"/>
        <color rgb="FF000000"/>
        <rFont val="Calibri"/>
        <family val="2"/>
        <scheme val="minor"/>
      </rPr>
      <t xml:space="preserve"> Emission Factor should be updated based on your location/brewery characteristics following the references cited on each tab. Some EF's can be updated annually.</t>
    </r>
  </si>
  <si>
    <t>Green, Red Text</t>
  </si>
  <si>
    <r>
      <rPr>
        <b/>
        <sz val="11"/>
        <color rgb="FFFF3300"/>
        <rFont val="Calibri"/>
        <family val="2"/>
        <scheme val="minor"/>
      </rPr>
      <t xml:space="preserve">INPUT OPTIONAL. </t>
    </r>
    <r>
      <rPr>
        <sz val="11"/>
        <color rgb="FFFF3300"/>
        <rFont val="Calibri"/>
        <family val="2"/>
        <scheme val="minor"/>
      </rPr>
      <t xml:space="preserve"> These cells contain Emission Factors based on national averages and New Belgium's experience. If your brewery has a different value, it can be input instead. Otherwise values in these cells are a reasonable estimation.</t>
    </r>
  </si>
  <si>
    <t>White</t>
  </si>
  <si>
    <t>Calculated Data Field</t>
  </si>
  <si>
    <r>
      <rPr>
        <b/>
        <sz val="11"/>
        <rFont val="Calibri"/>
        <family val="2"/>
        <scheme val="minor"/>
      </rPr>
      <t>NOT TO BE ALTERED.</t>
    </r>
    <r>
      <rPr>
        <sz val="11"/>
        <rFont val="Calibri"/>
        <family val="2"/>
        <scheme val="minor"/>
      </rPr>
      <t xml:space="preserve"> Automatically calculated value.</t>
    </r>
  </si>
  <si>
    <t>Light Grey</t>
  </si>
  <si>
    <t>Orange</t>
  </si>
  <si>
    <r>
      <t xml:space="preserve">Calculated Emissions - </t>
    </r>
    <r>
      <rPr>
        <sz val="9"/>
        <color rgb="FF000000"/>
        <rFont val="Calibri"/>
        <family val="2"/>
      </rPr>
      <t>kg CO2/CO2e</t>
    </r>
  </si>
  <si>
    <r>
      <rPr>
        <b/>
        <sz val="11"/>
        <rFont val="Calibri"/>
        <family val="2"/>
        <scheme val="minor"/>
      </rPr>
      <t xml:space="preserve">NOT TO BE ALTERED. </t>
    </r>
    <r>
      <rPr>
        <sz val="11"/>
        <rFont val="Calibri"/>
        <family val="2"/>
        <scheme val="minor"/>
      </rPr>
      <t>Automatically calculated value.</t>
    </r>
  </si>
  <si>
    <t>Light Orange</t>
  </si>
  <si>
    <r>
      <t xml:space="preserve">Calculated Emissions - </t>
    </r>
    <r>
      <rPr>
        <sz val="9"/>
        <rFont val="Calibri"/>
        <family val="2"/>
      </rPr>
      <t>lb or Ton of CO2/CO2e</t>
    </r>
  </si>
  <si>
    <t>Blue</t>
  </si>
  <si>
    <r>
      <t>Estimated Emission Factor -</t>
    </r>
    <r>
      <rPr>
        <sz val="9"/>
        <color rgb="FF000000"/>
        <rFont val="Calibri"/>
        <family val="2"/>
      </rPr>
      <t xml:space="preserve"> kg CO2/hL</t>
    </r>
  </si>
  <si>
    <t>STEPS FOR USING THIS TEMPLATE</t>
  </si>
  <si>
    <t xml:space="preserve">To get started, enter your company name and each brewing location in the table below. </t>
  </si>
  <si>
    <t>This information will be automatically populated in all other tabs. This template can handle up to 2 locations. If you have just one location, set all "Brewery 2" fields to zero or blank throughout the workbook.</t>
  </si>
  <si>
    <t>Company Name</t>
  </si>
  <si>
    <t>Low Carbon Brewing Company</t>
  </si>
  <si>
    <t>Brewery 1 Name</t>
  </si>
  <si>
    <t>Main Brewery</t>
  </si>
  <si>
    <t>Abbreviation</t>
  </si>
  <si>
    <t>MAIN</t>
  </si>
  <si>
    <t>Brewery 2 Name</t>
  </si>
  <si>
    <t>Second Brewery</t>
  </si>
  <si>
    <t>2ND</t>
  </si>
  <si>
    <t>GHG Reporting Year</t>
  </si>
  <si>
    <t xml:space="preserve">Next, enter Brewery data in blue tabs, including overall production statistics and specific operational inputs. More specific data entry guidance is provided </t>
  </si>
  <si>
    <t>at the top of each input tab.</t>
  </si>
  <si>
    <t>Then enter Upstream ingredient and materials data into orange tabs</t>
  </si>
  <si>
    <t>Next, enter Downstream distribution and usage data into green tabs</t>
  </si>
  <si>
    <t>Finally, update References in gray tabs - specifically the Retail Inputs tab</t>
  </si>
  <si>
    <t>Review the Reports tabs to see the detailed calculations overall, by Scope, and by activity area</t>
  </si>
  <si>
    <t>A FEW NOTES ON GETTING STARTED…</t>
  </si>
  <si>
    <t>Congratulations on diving into the wonderful world of GHG Accounting! This workbook is a comprehensive and self-service tool designed to help you on your way.</t>
  </si>
  <si>
    <t xml:space="preserve">We've worked to make this process straightforward &amp; streamlined, but there's no denying that it takes effort to establish an accurate GHG baseline for your brewery. </t>
  </si>
  <si>
    <t>Depending on how much information you have on-hand already, the process of gathering data from utility bills, raw material purchases and sales might take some time. This is a great project for an intern or a team member with a passion for sustainability. This process will create new operational insights along with a better understanding of your carbon footprint, to inform and empower future decision-making. Once data is entered and emission factor assumptions are updated, the reports and calculations happen immediately within the tool.</t>
  </si>
  <si>
    <t>The first year will require the greatest effort, and future GHG assessments will become more efficient!</t>
  </si>
  <si>
    <t xml:space="preserve">This is a free tool designed to best of New Belgium's ability and understanding. While we are not liable for any inconsistencies or errors within this tool, we will strive to fix any errors or challenges you come upon. So, please feel free to reach out to us at sustainability@newbelgium.com if you'd like to share your experience or an opportunity for improving the tool. </t>
  </si>
  <si>
    <t xml:space="preserve">This is v1, and we'll release updated versions in the future. </t>
  </si>
  <si>
    <t xml:space="preserve">Be sure to check out the Glossary &amp; FAQs tab for some common questions &amp; terminology, and see the data input guidance at the top of each data input tab. </t>
  </si>
  <si>
    <t xml:space="preserve">Please note - many of the white cells contain formulas which should not be altered. Please proceed with caution when revising any white cells to ensure overall template functionality. </t>
  </si>
  <si>
    <t xml:space="preserve">Special thanks to New Belgium's coworkers in Corporate Social Responsibility and Environmental Health &amp; Safety for their efforts and expertise in developing this template over the past 16 years. Special thanks to New Belgium's consultant Fosterra for their assistance in adapting our tool for use by fellow craft brewers. </t>
  </si>
  <si>
    <t>© 2021 New Belgium Brewing Company, Inc</t>
  </si>
  <si>
    <t>FAQs and Glossary</t>
  </si>
  <si>
    <t>Below you'll find answers for some common questions and terminology.</t>
  </si>
  <si>
    <t>FAQs</t>
  </si>
  <si>
    <t xml:space="preserve">Q:  Our operations only consist of one location. Can we leave all fields blank for the "Brewery 2" location? </t>
  </si>
  <si>
    <t xml:space="preserve">Yes indeed, just input your data into all fields for 'Brewery 1' and be sure to remove the example values provided in all 'Brewery 2' fields on each tab. </t>
  </si>
  <si>
    <t>Q:  How long will this take to complete?</t>
  </si>
  <si>
    <t>Q:  Where did you get the data and methodology for this template?</t>
  </si>
  <si>
    <t>New Belgium has been conducting our own GHG Accounting since 2006, and we've learned along the way. We conduct our GHG Accounting following WRI's internationally-recognized GHG Protocol methodology along with beer sector-specific guidance which we helped to create with BIER. The template has been simplified for use by other craft brewers but maintains all of the key elements and lessons learned over the years.</t>
  </si>
  <si>
    <t>Q:  What time period should we use for gathering and entering our data?</t>
  </si>
  <si>
    <t>This tool is designed to capture and analyze a full year of data and carbon emissions. You should enter data from the most recently completed calendar year, or a fiscal year-end period if appropriate for your brewery.</t>
  </si>
  <si>
    <t>Q:  What if we are missing data for some categories of emissions?</t>
  </si>
  <si>
    <t xml:space="preserve">GHG Accounting can be a time-intensive endeavor, especially in the first year! We recommend starting with what you've got and chipping away at the other categories as time allows. A little block in the calendar each week or month can do wonders. </t>
  </si>
  <si>
    <t>Q:  Where can I find the right emissions factor for one of the categories?</t>
  </si>
  <si>
    <t xml:space="preserve">The instructions at the top of each input tab and the Reference data links at the bottom of each input tab should point you in the right direction. For some categories, we can assume the same emissions factor (EF) regardless of our brewery's location or characteristics. For other categories, you will want to follow the provided link to be sure you're using the right EF. Some categories' EFs will not change year-to-year while others should be updated any year that you're carrying out GHG Accounting. </t>
  </si>
  <si>
    <t xml:space="preserve">Q:  I have advanced data for my brewery and would like to change a value in a cell that isn't yellow (input field) or green (emissions factor). Is that advisable? </t>
  </si>
  <si>
    <t>If a cell has a formula, proceed with great caution as any changes may create issues with overall template functionality. We encourage you to make this template your own to best serve and inform you, but we advise caution when making any edits or changes.</t>
  </si>
  <si>
    <t>Q:  Why are there separate tabs for Barley and Malt? How do we split this up?</t>
  </si>
  <si>
    <t>The tab for Barley captures the agricultural impact of barley production and transportation to the Maltster. The Malt tab captures the impact from the malting process and transportation to the brewery.</t>
  </si>
  <si>
    <t xml:space="preserve">Q:  Why are CO2 purchases input under Scope 1 as well as Scope 3? Is this double-counting? </t>
  </si>
  <si>
    <t>CO2 purchases in the 'Brewery-Fugitive' tab (Scope 1) are from the usage of CO2 in brewing operations and bottling. The energy used to create and transport CO2 from the provider to the brewery are included in the 'Upstream-CO2 Purchases' tab (Scope 3).</t>
  </si>
  <si>
    <t>Q:  How accurate is this tool for estimating our carbon footprint?</t>
  </si>
  <si>
    <t>While we cannot guarantee a level of accuracy, this template is based on GHG protocol standards and over a decade of use and refinement by New Belgium Brewing.  If data is entered accurately and completely, it should provide a reasonable estimate of the total annual carbon footprint of your brewing company across all major activities and scopes.</t>
  </si>
  <si>
    <t>Q:  What about other ingredients like fruit juices, or other packaging materials like labels?</t>
  </si>
  <si>
    <t>Ingredients that only contribute a very small portion to total finished product and GHG emissions are not required to be included as long as they individually are responsible for less than 1% of the total GHG emissions and collectively less than 5% of the total. Visit the "Ref-Less than 1% items" tab for more information.</t>
  </si>
  <si>
    <t>Q:  Now that we know our carbon footprint, what do we do to reduce it?</t>
  </si>
  <si>
    <t>With knowledge comes the responsibility to take action. Here are four suggested focus areas to reduce your net carbon footprint:
1. Find ways to reduce the energy that you consume (electricity, natural gas, and fuel for transportation)
2. Procure renewable energy sources for what is consumed.
3. Convert fossil fuel-based equipment to renewably powered electricity (electric vehicles, heat pumps, etc.)
4. Invest in high-quality carbon reduction projects to offset the remaining impact.</t>
  </si>
  <si>
    <t xml:space="preserve">Q:  I found an error in the form or would like to share feedback for improvements in a future version. How can I reach you? </t>
  </si>
  <si>
    <t>Please reach out to us at sustainability@newbelgium.com with your feedback on issues with the form. It may take some time for us to respond, but we appreciate you reaching out.</t>
  </si>
  <si>
    <t>GLOSSARY &amp; KEY ACRONYMS</t>
  </si>
  <si>
    <t>Term</t>
  </si>
  <si>
    <t>Description</t>
  </si>
  <si>
    <t>Link</t>
  </si>
  <si>
    <t>BBL</t>
  </si>
  <si>
    <t>1 US Beer Barrel. Unit of measure for beer production and sales.</t>
  </si>
  <si>
    <t>BIER</t>
  </si>
  <si>
    <t>The Beverage Industry Environmental Roundtable (BIER) is a technical coalition of global beverage companies working to advance environmental sustainability within the beverage sector. Alongside other BIER members, New Belgium co-created BIER's sector-specific GHG accounting guidance, which informed this template.</t>
  </si>
  <si>
    <t>https://www.bieroundtable.com/</t>
  </si>
  <si>
    <t>eGrid Subregion</t>
  </si>
  <si>
    <t>The EPA eGRID tool provides average electricity emissions factors for the entire USA, broken down by subregion. The link to the right provides the latest available data and map to find your brewery-specific subregion and factors.</t>
  </si>
  <si>
    <t>https://www.epa.gov/sites/default/files/2020-01/documents/egrid2018_summary_tables.pdf</t>
  </si>
  <si>
    <t>Emission Factor (EF)</t>
  </si>
  <si>
    <t>Typically a ratio of CO2 emitted per unit of activity. For example, pounds (lbs) per kWh of electricity, or kilograms per pound of landfill waste. These are used in many ways and typically come from external guidance such as the EPA, vendors, BIER and others.</t>
  </si>
  <si>
    <t>Flaring, Biogas Flaring</t>
  </si>
  <si>
    <t>Some breweries process their spent grains and effluents through a biodigester to generate methane that is either burned for heat and electricity (co-generation) or flared to convert the methane to CO2 (thereby reducing the GWP).</t>
  </si>
  <si>
    <t>Fugitive Emissions</t>
  </si>
  <si>
    <t xml:space="preserve">GHGs that are used in or escape from brewery operations are counted as "Fugitive Emissions" and include CO2, refrigerants, and methane. </t>
  </si>
  <si>
    <t>Greenhouse Gas</t>
  </si>
  <si>
    <t xml:space="preserve">Greenhouse gases (GHG) are natural and man-made gases that help trap and retain heat on the Earth's surface including carbon dioxide, methane, and others. The typical unit of measure is metric tons of CO2 equivalent (mtCO2e). For more information, visit: </t>
  </si>
  <si>
    <t>https://www.epa.gov/ghgemissions/overview-greenhouse-gases</t>
  </si>
  <si>
    <t>GWP</t>
  </si>
  <si>
    <t>The Global Warming Potential (GWP) was developed to allow comparisons of the global warming impacts of different gases.  The larger the GWP, the more that a given gas warms the Earth compared to CO2 over that time period. For example CO2 has a GWP factor of 1, while methane (natural gas) has a factor of 25.</t>
  </si>
  <si>
    <t>https://www.ghgprotocol.org/sites/default/files/ghgp/Global-Warming-Potential-Values%20%28Feb%2016%202016%29_1.pdf</t>
  </si>
  <si>
    <t>hL</t>
  </si>
  <si>
    <t>1 Hectoliter. Unit of measure for beer production and sales</t>
  </si>
  <si>
    <t xml:space="preserve">ICE </t>
  </si>
  <si>
    <t xml:space="preserve">This reference is for the internal combustion engine (ICE) in vehicles that are not hybrid or all-electric. </t>
  </si>
  <si>
    <t>kwh/MWH</t>
  </si>
  <si>
    <t>Kilowatt-hour/megawatt-hour is a unit of measure for electricity consumption.</t>
  </si>
  <si>
    <t>Light Duty Trucks</t>
  </si>
  <si>
    <t>These typically include pick-up trucks and small vans, but not large delivery trucks.</t>
  </si>
  <si>
    <t>MPG</t>
  </si>
  <si>
    <t>Miles per gallon - the unit of measure for vehicle fuel efficiency.</t>
  </si>
  <si>
    <t>Natural Gas</t>
  </si>
  <si>
    <t>Also known as methane and CH4, natural gas is used for combustion and heating and has a high GWP.</t>
  </si>
  <si>
    <t>Scope 1 Emissions</t>
  </si>
  <si>
    <t>Direct GHG emissions from sources that are owned or controlled by the brewery.</t>
  </si>
  <si>
    <t>See tab "Ref-GHG Protocol Scopes"</t>
  </si>
  <si>
    <t>Scope 2 Emissions</t>
  </si>
  <si>
    <t>GHG emissions from the generation of purchased electricity that is used by the brewery.</t>
  </si>
  <si>
    <t>Scope 3 Emissions</t>
  </si>
  <si>
    <t>GHG emissions from all other activities including ingredient and packaging production and transportation, distribution, retail consumption, and waste (but not acvitities already accounted for in Scope 1 or Scope 2)</t>
  </si>
  <si>
    <t>WRI GHG Protocol</t>
  </si>
  <si>
    <t xml:space="preserve">The GHG Protocol was developed by the World Resources Institute and is the world's most widely used greenhouse gas accounting standard. Learn more here: </t>
  </si>
  <si>
    <t>https://ghgprotocol.org/</t>
  </si>
  <si>
    <t>Scope 1</t>
  </si>
  <si>
    <t>Natural gas</t>
  </si>
  <si>
    <t>Fugitive</t>
  </si>
  <si>
    <t>Vehicle fleet</t>
  </si>
  <si>
    <t>Flaring</t>
  </si>
  <si>
    <t>Scope 2</t>
  </si>
  <si>
    <t>Purchased electricity</t>
  </si>
  <si>
    <t>Scope 3</t>
  </si>
  <si>
    <t>Glass</t>
    <phoneticPr fontId="44" type="noConversion"/>
  </si>
  <si>
    <t>Barley</t>
  </si>
  <si>
    <t>Distribution</t>
  </si>
  <si>
    <t>Aluminum</t>
  </si>
  <si>
    <t>Retail</t>
    <phoneticPr fontId="44" type="noConversion"/>
  </si>
  <si>
    <t>Malt</t>
    <phoneticPr fontId="44" type="noConversion"/>
  </si>
  <si>
    <t>Fiber packaging</t>
  </si>
  <si>
    <t>Use</t>
    <phoneticPr fontId="44" type="noConversion"/>
  </si>
  <si>
    <t>Carbon dioxide purchases</t>
  </si>
  <si>
    <t>Corporate flights</t>
  </si>
  <si>
    <t>Manufacturing waste disposal</t>
  </si>
  <si>
    <t>Water</t>
  </si>
  <si>
    <t>Emissions Source</t>
  </si>
  <si>
    <t>Number</t>
  </si>
  <si>
    <t>Unit</t>
  </si>
  <si>
    <t>Total GHG Emissions (kg CO2e)</t>
  </si>
  <si>
    <t>% of Total Source Emissions</t>
  </si>
  <si>
    <t>% of Total Scope 1 Emissions</t>
  </si>
  <si>
    <t>% of Total Scope 1 &amp; 2 Emissions</t>
  </si>
  <si>
    <t>% of Total Emissions</t>
  </si>
  <si>
    <t>Total GHG emissions (kg CO2e/hL)</t>
  </si>
  <si>
    <t>therms</t>
  </si>
  <si>
    <t>kg CO2e</t>
  </si>
  <si>
    <t>Total Natural Gas</t>
  </si>
  <si>
    <t>CH4 kg</t>
  </si>
  <si>
    <t>Total Methane</t>
  </si>
  <si>
    <t>kg</t>
  </si>
  <si>
    <t>HVAC Refrigerants</t>
  </si>
  <si>
    <t>lbs</t>
  </si>
  <si>
    <t>CO2 for tank purging</t>
  </si>
  <si>
    <t>lbs purchased</t>
  </si>
  <si>
    <t>Total Fugitive</t>
  </si>
  <si>
    <t>lb</t>
  </si>
  <si>
    <t>Vehicle Fleet</t>
  </si>
  <si>
    <t>Miles</t>
  </si>
  <si>
    <t>Total Fleet</t>
  </si>
  <si>
    <t>Mt CO2e</t>
  </si>
  <si>
    <t>% of Total Scope 2 Emissions</t>
  </si>
  <si>
    <t>Total GHG emissions (CO2e/hL)</t>
  </si>
  <si>
    <t>All Buildings CO2</t>
  </si>
  <si>
    <t>kWh</t>
  </si>
  <si>
    <t>All Buildings CH4</t>
  </si>
  <si>
    <t>All Buildings N2O</t>
  </si>
  <si>
    <t>Total Purchased Electricity</t>
  </si>
  <si>
    <t>Scope 1+2</t>
  </si>
  <si>
    <t>% of Total Scope 3 Emissions</t>
  </si>
  <si>
    <t>Landfill</t>
  </si>
  <si>
    <t>Recycling</t>
  </si>
  <si>
    <t>By-products</t>
  </si>
  <si>
    <t>Total Manufacturing Waste</t>
  </si>
  <si>
    <t>Air Travel</t>
  </si>
  <si>
    <t>Total Corporate Flights</t>
  </si>
  <si>
    <t>miles</t>
  </si>
  <si>
    <t>tons</t>
  </si>
  <si>
    <t>Total Distribution</t>
  </si>
  <si>
    <t>gallons</t>
  </si>
  <si>
    <t>Total Purchased Water</t>
  </si>
  <si>
    <t>Liquefication process</t>
  </si>
  <si>
    <t>Transporting CO2</t>
  </si>
  <si>
    <t>Total Purchased CO2</t>
  </si>
  <si>
    <t>Glass Production (12oz)</t>
  </si>
  <si>
    <t>bottles</t>
    <phoneticPr fontId="44" type="noConversion"/>
  </si>
  <si>
    <t>Glass Production (22oz)</t>
  </si>
  <si>
    <t>Transportation (12oz)</t>
  </si>
  <si>
    <t>bottles</t>
  </si>
  <si>
    <t>Transportation (22oz)</t>
  </si>
  <si>
    <t>Total Glass</t>
  </si>
  <si>
    <t>Aluminum Production (12oz)</t>
  </si>
  <si>
    <t>cans</t>
  </si>
  <si>
    <t>Aluminum Production (16oz)</t>
  </si>
  <si>
    <t>Aluminum Production (19.2oz)</t>
  </si>
  <si>
    <t>Aluminum Production (24oz)</t>
  </si>
  <si>
    <t>Transportation (16oz)</t>
  </si>
  <si>
    <t>Transportation (19.2oz)</t>
  </si>
  <si>
    <t>Transportation (24oz)</t>
  </si>
  <si>
    <t>Transportation (all can ends)</t>
  </si>
  <si>
    <t>shipments</t>
  </si>
  <si>
    <t>Total Aluminum</t>
  </si>
  <si>
    <t>Production</t>
  </si>
  <si>
    <t>bbls brew</t>
  </si>
  <si>
    <t>Transportation</t>
  </si>
  <si>
    <t>Total Malt</t>
  </si>
  <si>
    <t>bbls</t>
  </si>
  <si>
    <t>Agriculture</t>
  </si>
  <si>
    <t>Total Barley</t>
  </si>
  <si>
    <t>Off-Premise</t>
  </si>
  <si>
    <t>On-Premise</t>
  </si>
  <si>
    <t>Total Retail</t>
  </si>
  <si>
    <t>Refrigerator</t>
    <phoneticPr fontId="44" type="noConversion"/>
  </si>
  <si>
    <t>6-packs</t>
  </si>
  <si>
    <t>Total Use</t>
  </si>
  <si>
    <t>Fiberboard</t>
  </si>
  <si>
    <t>Corrugated</t>
  </si>
  <si>
    <t>Total Packaging</t>
  </si>
  <si>
    <t>Total GHG Emissions</t>
  </si>
  <si>
    <t>kilograms CO2e</t>
  </si>
  <si>
    <t>TOTAL</t>
  </si>
  <si>
    <t>metric tons CO2e</t>
  </si>
  <si>
    <t>Purchased Electricity</t>
  </si>
  <si>
    <t>Corporate Flights</t>
  </si>
  <si>
    <t xml:space="preserve">Total Brewery Sources </t>
  </si>
  <si>
    <t>Total Sources</t>
  </si>
  <si>
    <t>Brewery % Total Sources</t>
  </si>
  <si>
    <t xml:space="preserve">Total Upstream Sources </t>
  </si>
  <si>
    <t>Total Sources (Allocated)</t>
  </si>
  <si>
    <t>Upstream % Total Sources (Allocated)</t>
  </si>
  <si>
    <t xml:space="preserve">Total Downstream Sources </t>
  </si>
  <si>
    <t>Downstream % Total Sources</t>
  </si>
  <si>
    <t>Control Data - Standard Brewery Data</t>
  </si>
  <si>
    <t>Data Entry Notes:</t>
  </si>
  <si>
    <t>Yellow Highlights</t>
  </si>
  <si>
    <t xml:space="preserve"> = Data entry needed. See color legend on Welcome tab for more info.</t>
  </si>
  <si>
    <t>The individual amounts for the beer brewed, packaged, and sold during the prior year should be entered into the appropriate highlighted field. These numbers are the basis for many other calculations within this tool.</t>
  </si>
  <si>
    <t>Glossary/FAQ</t>
  </si>
  <si>
    <t>Conversion Data</t>
  </si>
  <si>
    <t>hL Brewed</t>
  </si>
  <si>
    <t>Specs for Bbl</t>
  </si>
  <si>
    <t>Bbl Brewed</t>
  </si>
  <si>
    <t>gal</t>
  </si>
  <si>
    <t>Volume of beer</t>
  </si>
  <si>
    <t>fl oz</t>
  </si>
  <si>
    <t>hL Packaged</t>
  </si>
  <si>
    <t>Weight of Bbl</t>
  </si>
  <si>
    <t>Bbl Packaged</t>
  </si>
  <si>
    <t>hL Packaged (Bottles)</t>
  </si>
  <si>
    <t>Specs for 1/2 barrel</t>
  </si>
  <si>
    <t>Specs for packaged product</t>
  </si>
  <si>
    <t>Bbl Packaged (Bottles)</t>
  </si>
  <si>
    <t>Weight of empty barrel</t>
  </si>
  <si>
    <t>lb/gal</t>
  </si>
  <si>
    <t>water density</t>
  </si>
  <si>
    <t>Weight of 1/2 barrel keg with beer</t>
  </si>
  <si>
    <t>beer density estimate</t>
  </si>
  <si>
    <t>hL Packaged (Kegs)</t>
  </si>
  <si>
    <t>lb/oz</t>
  </si>
  <si>
    <t>beer density</t>
  </si>
  <si>
    <t>Bbl Packaged (Kegs)</t>
  </si>
  <si>
    <t>Weight of beer</t>
  </si>
  <si>
    <t>beer weight for 12oz case (24 cans)</t>
  </si>
  <si>
    <t>beer weight for 16oz case (24 cans)</t>
  </si>
  <si>
    <t>hL Packaged (Cans)</t>
  </si>
  <si>
    <t>Full barrel to 6-pack conversion</t>
  </si>
  <si>
    <t>beer weight for 19.2oz case (12 cans)</t>
  </si>
  <si>
    <t>Bbl Packaged (Cans)</t>
  </si>
  <si>
    <t>Cases of 12 oz. bottles per full barrel</t>
  </si>
  <si>
    <t>empty 12oz bottle weight</t>
  </si>
  <si>
    <t>6-packs of 12 oz bottles per full barrel</t>
  </si>
  <si>
    <t>empty 12oz can weight</t>
  </si>
  <si>
    <t>hL Sold</t>
  </si>
  <si>
    <t>Weight of 6-pack minus beer</t>
  </si>
  <si>
    <t>empty 16oz can weight</t>
  </si>
  <si>
    <t>Bbl Sold</t>
  </si>
  <si>
    <t>Total weight of 6-pack with beer</t>
  </si>
  <si>
    <t>empty 19.2oz can weight</t>
  </si>
  <si>
    <t>Weight of empty pallet</t>
  </si>
  <si>
    <t>bottle mothercarton and carriers weight</t>
  </si>
  <si>
    <t>Weight of empty mothercarton</t>
  </si>
  <si>
    <t>can tray and carrier weight</t>
  </si>
  <si>
    <t>empty 19.2oz box</t>
  </si>
  <si>
    <t>Conversions</t>
  </si>
  <si>
    <t>Total case weight for 12oz bottles</t>
  </si>
  <si>
    <t>oz</t>
  </si>
  <si>
    <t>Total case weight for 12oz cans</t>
  </si>
  <si>
    <t>Total case weight for 16oz cans</t>
  </si>
  <si>
    <t>Total case weight for 19.2oz cans</t>
  </si>
  <si>
    <t>g</t>
  </si>
  <si>
    <t>case</t>
  </si>
  <si>
    <t>12oz bottles</t>
  </si>
  <si>
    <t>6-pack</t>
  </si>
  <si>
    <t>Bbl</t>
  </si>
  <si>
    <t>ton (short)</t>
  </si>
  <si>
    <t>Fuel Emission Factors:</t>
  </si>
  <si>
    <t>Fuel economy of tractor trailer (miles/gal)</t>
  </si>
  <si>
    <t>metric ton</t>
  </si>
  <si>
    <t>Diesel emission factor (kg CO2/gal)</t>
  </si>
  <si>
    <t>C</t>
  </si>
  <si>
    <t>CO2e</t>
  </si>
  <si>
    <t>Tractor Trailer emission factor (kg CO2/ton-mile)</t>
  </si>
  <si>
    <t>See below for summary of EF References</t>
  </si>
  <si>
    <t>km</t>
  </si>
  <si>
    <t>mile</t>
  </si>
  <si>
    <t>m3</t>
  </si>
  <si>
    <t>ft3</t>
  </si>
  <si>
    <t>Code</t>
  </si>
  <si>
    <t>Name</t>
  </si>
  <si>
    <t>Keg or Case?</t>
  </si>
  <si>
    <t>Bottle size</t>
  </si>
  <si>
    <t>VOLUME</t>
  </si>
  <si>
    <t>BEER BARREL (BBL)</t>
  </si>
  <si>
    <t>GALLONS</t>
  </si>
  <si>
    <t>CASE EQUIVALENT (CE)</t>
  </si>
  <si>
    <t>HECTOLITER (hL)</t>
  </si>
  <si>
    <t>Ounce (oz)</t>
  </si>
  <si>
    <t>Bottle (12oz)</t>
  </si>
  <si>
    <t>Half-Barrel</t>
  </si>
  <si>
    <t>Keg</t>
  </si>
  <si>
    <t>N/A</t>
  </si>
  <si>
    <t>1/2</t>
  </si>
  <si>
    <t>1/6</t>
  </si>
  <si>
    <t>Sixth-Barrel</t>
  </si>
  <si>
    <t>4/6</t>
  </si>
  <si>
    <t>Four 6-packs</t>
  </si>
  <si>
    <t>Case</t>
  </si>
  <si>
    <t>12 ounce</t>
  </si>
  <si>
    <t>2/12</t>
  </si>
  <si>
    <t>Two 12-packs</t>
  </si>
  <si>
    <t>24/12</t>
  </si>
  <si>
    <t>Loose Pack of 24 bottles</t>
  </si>
  <si>
    <t>12/22</t>
  </si>
  <si>
    <t>Twelve 22oz bottles</t>
  </si>
  <si>
    <t>22 ounce</t>
  </si>
  <si>
    <t>12oz bottle/can</t>
  </si>
  <si>
    <t>12oz container</t>
  </si>
  <si>
    <t>single</t>
  </si>
  <si>
    <t>16oz can</t>
  </si>
  <si>
    <t>16oz container</t>
  </si>
  <si>
    <t>16 ounce</t>
  </si>
  <si>
    <t>22oz bottle</t>
  </si>
  <si>
    <t>22oz container</t>
  </si>
  <si>
    <t>Weight (lbs)</t>
  </si>
  <si>
    <t>Weight (g)</t>
  </si>
  <si>
    <t>Scale</t>
  </si>
  <si>
    <t>12-packs/bbl</t>
  </si>
  <si>
    <t>Weight (lbs) - Full</t>
  </si>
  <si>
    <t>Weight (kg) - Full</t>
  </si>
  <si>
    <t>12oz bottle (empty)</t>
  </si>
  <si>
    <t>12 pack cans</t>
  </si>
  <si>
    <t>22oz bottle (empty)</t>
  </si>
  <si>
    <t>12oz can and can end (empty)</t>
  </si>
  <si>
    <t>16oz can and can end (empty)</t>
  </si>
  <si>
    <t>19.2oz can and can end (empty)</t>
  </si>
  <si>
    <t>24oz can and can end (empty)</t>
  </si>
  <si>
    <t>Mothercarton (RSC) - bottle</t>
  </si>
  <si>
    <t>6pk carrier (SPC) - bottle</t>
  </si>
  <si>
    <t>4pk carrier (FPC)</t>
  </si>
  <si>
    <t>22oz 12pk case 12/22 wac) - bottle</t>
  </si>
  <si>
    <t>12oz 24pk case (24/12 wac) - bottle</t>
  </si>
  <si>
    <t>12oz 12pk case (2/12 wac) - bottle</t>
  </si>
  <si>
    <t>12oz 12pk tray (2/12 bottle tray, 2/12 can tray, 4/6 can tray) - can/bottle</t>
  </si>
  <si>
    <t>6pk can 12oz (4/6 can box)</t>
  </si>
  <si>
    <t>12pk can (2/12 can box)</t>
  </si>
  <si>
    <t>12pk can (Folly pack)</t>
  </si>
  <si>
    <t>15pk can (15/12 can box)</t>
  </si>
  <si>
    <t>24pk can 12 oz (24/12 can box) - FT</t>
  </si>
  <si>
    <t>24pk can 16oz (24/16 can box)</t>
  </si>
  <si>
    <t>15pk can 19.2oz (15/19.2 can box)</t>
  </si>
  <si>
    <t>12oz 12pk sleek can tray 
(2/12 sleek can tray)</t>
  </si>
  <si>
    <t>12oz 6pk sleek can tray 
(4/6 sleek can tray)</t>
  </si>
  <si>
    <t>Can plastic holder/carrier</t>
  </si>
  <si>
    <t>=</t>
  </si>
  <si>
    <t>CE's</t>
  </si>
  <si>
    <t>HECTOLITERS</t>
  </si>
  <si>
    <t>Fuel Emission Calculations References:</t>
  </si>
  <si>
    <t>Tractor Trailer MPG</t>
  </si>
  <si>
    <t>Data for tractor trailer MPG supported by the Argonne National Laboratory Center for Transportation Research publication titled "Estimation of Fuel Use by Idling Commercial Trucks" - pg. 11, Insulated Reefer row.</t>
  </si>
  <si>
    <t>http://www.transportation.anl.gov/pdfs/TA/373.pdf</t>
  </si>
  <si>
    <t>Diesel Fuel EF of 10.21</t>
  </si>
  <si>
    <t>US EPA Center for Corporate Climate Leadership - GHG Inventory Guidance</t>
  </si>
  <si>
    <t>EPA Report 'Direct Emissions from Mobile Combustion Sources' - Table A-1: Emission Factors for Equation 1 (EF1) - Emissions per Mass or Volume Unit for Fossil Fuel Combustion (page 15)</t>
  </si>
  <si>
    <t>EPA Report 'Direct Emissions from Stationary Combustion Sources' - Appendix A: Default Emission Factors (page 20)</t>
  </si>
  <si>
    <t>Tractor Trailer ton-mile EF</t>
  </si>
  <si>
    <t>US EPA Emission Factors Report from 2018 - Table 9 - Medium and Heavy Duty Truck</t>
  </si>
  <si>
    <t>https://www.epa.gov/sites/production/files/2018-03/documents/emission-factors_mar_2018_0.pdf</t>
  </si>
  <si>
    <t>Table G.12.1 - U.S Default Factors for Calculating CO2 Emissions from Fossil Fuel and Biomass Combustion</t>
  </si>
  <si>
    <t>Fuel</t>
  </si>
  <si>
    <t>CO2 emission factor (kg CO2 / gal)</t>
  </si>
  <si>
    <t>kg CO2 / liter</t>
  </si>
  <si>
    <t>Gasoline/petrol</t>
  </si>
  <si>
    <t>Diesel Fuel No. 2</t>
  </si>
  <si>
    <t>residual fuel oil No. 6</t>
  </si>
  <si>
    <t>LPG</t>
  </si>
  <si>
    <t xml:space="preserve">   - fossil fuel component</t>
  </si>
  <si>
    <t>Ethanol (E100)</t>
  </si>
  <si>
    <t>Biodiesel (B100)</t>
  </si>
  <si>
    <t>Biodiesel (B20)</t>
  </si>
  <si>
    <t xml:space="preserve">   - biofuel component</t>
  </si>
  <si>
    <t>Electricity</t>
  </si>
  <si>
    <t xml:space="preserve"> = Data entry needed. See color legend on Welcome tab for more info.  </t>
  </si>
  <si>
    <t>Enter the monthly electricity usage in kWh from each meter that serves the brewery from your utility bills. This template can hold the data for up to 5 meters. 
Find your "eGRID" emissions factor for each brewery location using the link provided, and then enter them in the sections below (the emission factors below are placeholders.)</t>
  </si>
  <si>
    <t>Year</t>
  </si>
  <si>
    <t>Month</t>
  </si>
  <si>
    <t>Amount</t>
  </si>
  <si>
    <t>Meter 1</t>
  </si>
  <si>
    <t>Meter 2</t>
  </si>
  <si>
    <t>Meter 3</t>
  </si>
  <si>
    <t>Meter 4</t>
  </si>
  <si>
    <t>Meter 5</t>
  </si>
  <si>
    <t>Total</t>
  </si>
  <si>
    <t>January</t>
  </si>
  <si>
    <t>February</t>
  </si>
  <si>
    <t>March</t>
  </si>
  <si>
    <t>April</t>
  </si>
  <si>
    <t>May</t>
  </si>
  <si>
    <t>June</t>
  </si>
  <si>
    <t>July</t>
  </si>
  <si>
    <t>August</t>
  </si>
  <si>
    <t>September</t>
  </si>
  <si>
    <t>October</t>
  </si>
  <si>
    <t>November</t>
  </si>
  <si>
    <t>December</t>
  </si>
  <si>
    <t>eGRID subregion for all emission factors:</t>
  </si>
  <si>
    <t>[Region]</t>
  </si>
  <si>
    <t>eGRID Link</t>
  </si>
  <si>
    <t>CH4 Emissions from Electricity - All Meters</t>
  </si>
  <si>
    <t>Total KWh</t>
  </si>
  <si>
    <t>Emission Factor-[Region] (lb CO2/MWh)</t>
  </si>
  <si>
    <t>Emission Factor (lb CH4/MWh)</t>
  </si>
  <si>
    <t>Emission Factor (kg CO2/MWh) (1 kg = 2.2046 lb)</t>
  </si>
  <si>
    <t>Emission Factor (kg CH4/MWh) (1 kg = 2.2046 lb)</t>
  </si>
  <si>
    <t>Emission Factor (kg CO2/kWh) (1 MWh = 1000 kWh)</t>
  </si>
  <si>
    <t>Emission Factor (kg CH4/kWh) (1 MWh = 1000 kWh)</t>
  </si>
  <si>
    <t>Emissions from electricity (kg CO2)</t>
  </si>
  <si>
    <t>Emissions from electricity (kg CH4)</t>
  </si>
  <si>
    <t>Emissions (kg CO2)</t>
  </si>
  <si>
    <t>Emissions from CH4 (kg CO2e)</t>
  </si>
  <si>
    <t>Emissions (lb CO2e)</t>
  </si>
  <si>
    <t>Emissions from CH4 (lb CO2e)</t>
  </si>
  <si>
    <t>Emissions (ton CO2e)</t>
  </si>
  <si>
    <t>Emissions from CH4 (ton CO2e)</t>
  </si>
  <si>
    <t>Emissions (kg CO2/hL)</t>
  </si>
  <si>
    <t>Emissions from CH4 (kg CO2e/hL)</t>
  </si>
  <si>
    <t>N2O Emissions from Electricity - All Meters</t>
  </si>
  <si>
    <t>Emission Factor (lb N2O/MWh)</t>
  </si>
  <si>
    <t>Emission Factor (kg N2O/MWh) (1 kg = 2.2046 lb)</t>
  </si>
  <si>
    <t>Total CO2e Emissions from Electricity - All Meters</t>
  </si>
  <si>
    <t>Emission Factor (kg N2O/kWh) (1 MWh = 1000 kWh)</t>
  </si>
  <si>
    <t>Total Emissions (kg CO2e)</t>
  </si>
  <si>
    <t>Emissions from electricity (kg N2O)</t>
  </si>
  <si>
    <t>Total Emissions (kg CO2e/hL)</t>
  </si>
  <si>
    <t>Emissions from N2O (kg CO2e)</t>
  </si>
  <si>
    <t>Emissions from N2O (lb CO2e)</t>
  </si>
  <si>
    <t>Emissions from N2O (ton CO2e)</t>
  </si>
  <si>
    <t>Emissions from N2O (kg CO2e/hL)</t>
  </si>
  <si>
    <t>Totals by Meter</t>
  </si>
  <si>
    <t>Total (kWh)</t>
  </si>
  <si>
    <t>CO2 Emissions from Electricity - All Meters</t>
  </si>
  <si>
    <t>Total CO2 Emissions from Electricity - All Meters</t>
  </si>
  <si>
    <t>Both Facilities Data</t>
  </si>
  <si>
    <t>Total Electricity Emissions</t>
  </si>
  <si>
    <t>Total emissions from all electricity</t>
  </si>
  <si>
    <t>kg CO2</t>
  </si>
  <si>
    <t>lb CO2</t>
  </si>
  <si>
    <t>Tons CO2</t>
  </si>
  <si>
    <t>kg CO2/hL</t>
  </si>
  <si>
    <t>Emission Calculations References:</t>
  </si>
  <si>
    <r>
      <rPr>
        <b/>
        <sz val="11"/>
        <color indexed="8"/>
        <rFont val="Calibri"/>
        <family val="2"/>
        <scheme val="minor"/>
      </rPr>
      <t>Emission Factor</t>
    </r>
    <r>
      <rPr>
        <sz val="11"/>
        <color indexed="8"/>
        <rFont val="Calibri"/>
        <family val="2"/>
        <scheme val="minor"/>
      </rPr>
      <t>: The Emission Factor should be pulled from the eGRID Report for the specific region that serves each brewery location</t>
    </r>
  </si>
  <si>
    <t>https://www.epa.gov/energy/egrid-summary-tables</t>
  </si>
  <si>
    <t>https://www.epa.gov/energy/emissions-generation-resource-integrated-database-egrid</t>
  </si>
  <si>
    <t>To quantify scope 2 emissions, the GHG Protocol Corporate Standard recommends that companies obtain source/supplier specific emission factors for the electricity purchased. If these are not available, regional grid emission factors should be used</t>
  </si>
  <si>
    <t/>
  </si>
  <si>
    <t>GWP: Comes from GHG Protocol</t>
  </si>
  <si>
    <t>Enter the monthly gas usage in therms from each meter that serves the brewery from your utility biills. This template can hold the data for up to 4 meters for the main brewery and 3 for a second brewery.</t>
  </si>
  <si>
    <t>Value</t>
  </si>
  <si>
    <t>Units</t>
  </si>
  <si>
    <t>Total therms from ALL Meters</t>
  </si>
  <si>
    <t>Emission Factor (kg CO2/therm)</t>
  </si>
  <si>
    <t>Total Natural Gas Emissions</t>
  </si>
  <si>
    <t>Total therms from all natural gas</t>
  </si>
  <si>
    <t>Total emissions from all natural gas</t>
  </si>
  <si>
    <t>Emission Factor:</t>
  </si>
  <si>
    <t>Natural Gas Emission Factor:</t>
  </si>
  <si>
    <t>The emissions factor was found in the annual climate registry report named 'Climate Registry Default Emission Factor Document' (5-1-19):</t>
  </si>
  <si>
    <t>US Weighted National Average Greater than 1,000 Btu: Value: 53.06 kg CO2/MMBtu ; 5.306 kg CO2/therm - CURRENTLY USING</t>
  </si>
  <si>
    <t>https://www.theclimateregistry.org/wp-content/uploads/2019/05/The-Climate-Registry-2019-Default-Emission-Factor-Document.pdf</t>
  </si>
  <si>
    <t>Biogas Flaring</t>
  </si>
  <si>
    <r>
      <t xml:space="preserve">This worksheet is only for breweries that have a biodigester. This tab accounts for the emissions of methane emitted that is not combusted from flare operations.
</t>
    </r>
    <r>
      <rPr>
        <b/>
        <i/>
        <sz val="11"/>
        <color rgb="FFFF0000"/>
        <rFont val="Calibri"/>
        <family val="2"/>
      </rPr>
      <t>If you do not have this equipment or process, be sure to zero-out all yellow highlighted values.</t>
    </r>
  </si>
  <si>
    <t>Flare flow rate (m3/hr)</t>
  </si>
  <si>
    <t>Biogas sent to flare (m3)</t>
  </si>
  <si>
    <t>Flare runtime (hr)</t>
  </si>
  <si>
    <t>Methane amount in biogas (%)</t>
  </si>
  <si>
    <t>Flare biogas used (m3)</t>
  </si>
  <si>
    <t>Methane sent to flare (m3)</t>
  </si>
  <si>
    <t>Conversion (m3 to ft3)</t>
  </si>
  <si>
    <t>Methane sent to flare (ft3)</t>
  </si>
  <si>
    <t>Conversion (ft3 to kg)</t>
  </si>
  <si>
    <t>Methane sent to flare (kg)</t>
  </si>
  <si>
    <t>Combustion inefficiency of flare %</t>
  </si>
  <si>
    <t>Methane not combusted (kg)</t>
  </si>
  <si>
    <t>GWP of CH4</t>
  </si>
  <si>
    <t>Emissions from flare (kg CO2e)</t>
  </si>
  <si>
    <t>lb CO2e</t>
  </si>
  <si>
    <t>ton CO2e</t>
  </si>
  <si>
    <t>Emissions from flare (kg CO2e/hL)</t>
  </si>
  <si>
    <t>Total Flare Methane Emissions</t>
  </si>
  <si>
    <t>Emissions from flares (kg CO2e)</t>
  </si>
  <si>
    <t>Emissions from flares (kg CO2e/hL)</t>
  </si>
  <si>
    <r>
      <rPr>
        <b/>
        <sz val="11"/>
        <color theme="1"/>
        <rFont val="Calibri"/>
        <family val="2"/>
        <scheme val="minor"/>
      </rPr>
      <t>% of biogas that is methane:</t>
    </r>
    <r>
      <rPr>
        <sz val="11"/>
        <color theme="1"/>
        <rFont val="Calibri"/>
        <family val="2"/>
        <scheme val="minor"/>
      </rPr>
      <t xml:space="preserve"> This number is from a biogas heating value analysis</t>
    </r>
  </si>
  <si>
    <t>Note: if you do not have a combustion analysis, use 75%</t>
  </si>
  <si>
    <r>
      <rPr>
        <b/>
        <sz val="11"/>
        <rFont val="Calibri"/>
        <family val="2"/>
        <scheme val="minor"/>
      </rPr>
      <t>ft³ to kg conversion for CH4:</t>
    </r>
    <r>
      <rPr>
        <sz val="11"/>
        <rFont val="Calibri"/>
        <family val="2"/>
        <scheme val="minor"/>
      </rPr>
      <t xml:space="preserve"> Estimate</t>
    </r>
  </si>
  <si>
    <t>Combustion inefficiency of Flare: Equipment manfacturer estimates</t>
  </si>
  <si>
    <t>Fugitive Emissions - Stationary Sources</t>
  </si>
  <si>
    <t>Enter the refrigerants purchased by type and location in the highlighted fields - these represent "fugitive" greenhouse gases. Common types are already included and there is a placeholder to add a refrigerant that may not be listed already. 
Also, all purchased CO2 that is used during the brewing process and for carbonation should be included.</t>
  </si>
  <si>
    <t>HVAC Refrigeration (R-134a Refrigerant)</t>
  </si>
  <si>
    <t>HVAC Refrigeration (R-407C Refrigerant)</t>
  </si>
  <si>
    <t>R-134a Refrigerant emissions (lb)</t>
  </si>
  <si>
    <t>R-407C Refrigerant emissions (lb)</t>
  </si>
  <si>
    <t>Conversion Factor (lb to kg)</t>
  </si>
  <si>
    <t>R-134a Refrigerant emissions (Kg)</t>
  </si>
  <si>
    <t>R-407C Refrigerant emissions (Kg)</t>
  </si>
  <si>
    <t>Emissions from R-134a Refrigerant (kg CO2)</t>
  </si>
  <si>
    <t>Emissions from R-407C Refrigerant (kg CO2)</t>
  </si>
  <si>
    <t>Emissions from R-134a Refrigerant (kg CO2/hL)</t>
  </si>
  <si>
    <t>Emissions from R-407C Refrigerant (kg CO2/hL)</t>
  </si>
  <si>
    <t>HVAC Refrigeration (R-22 Refrigerant)</t>
  </si>
  <si>
    <t>HVAC Refrigeration (R-404A Refrigerant)</t>
  </si>
  <si>
    <t>R-22 Refrigerant emissions (lb)</t>
  </si>
  <si>
    <t>R-404A Refrigerant emissions (lb)</t>
  </si>
  <si>
    <t>R-22 Refrigerant emissions (Kg)</t>
  </si>
  <si>
    <t>R-404A Refrigerant emissions (Kg)</t>
  </si>
  <si>
    <t>Emissions from R-22 Refrigerant (kg CO2)</t>
  </si>
  <si>
    <t>Emissions from R-404A Refrigerant (kg CO2)</t>
  </si>
  <si>
    <t>Emissions from R-22 Refrigerant (kg CO2/hL)</t>
  </si>
  <si>
    <t>Emissions from R-404A Refrigerant (kg CO2/hL)</t>
  </si>
  <si>
    <t>Total HVAC Refrigeration Emissions</t>
  </si>
  <si>
    <t>Total HVAC refrigerant emissions (lb)</t>
  </si>
  <si>
    <t>Use this area to add a refrigerant that is not included in this worksheet already</t>
  </si>
  <si>
    <t>Emissions from HVAC Refrigeration (kg CO2)</t>
  </si>
  <si>
    <t>HVAC Refrigeration (TBD Refrigerant)</t>
  </si>
  <si>
    <t>TBD Refrigerant emissions (lb)</t>
  </si>
  <si>
    <t>Emissions from HVAC Refrigeration (kg CO2/hL)</t>
  </si>
  <si>
    <t>Refrigerant emissions (Kg)</t>
  </si>
  <si>
    <t>Purchased CO2 (lb CO2)</t>
  </si>
  <si>
    <t>Emissions from Refrigerant (kg CO2)</t>
  </si>
  <si>
    <t>Total purchased CO2 (lb)</t>
  </si>
  <si>
    <t>Conversion (lb to kg)</t>
  </si>
  <si>
    <t>Emissions from Refrigerant (kg CO2/hL)</t>
  </si>
  <si>
    <t>Total purchased CO2 (Kg)</t>
  </si>
  <si>
    <t>Beer packaged (bbl)</t>
  </si>
  <si>
    <t>Beer packaged (hL)</t>
  </si>
  <si>
    <t>CO2 injection flow rate (Kg/hL)</t>
  </si>
  <si>
    <t>CO2 retained from carbonation (Kg)</t>
  </si>
  <si>
    <t>Emissions from Purchased CO2 (kg CO2)</t>
  </si>
  <si>
    <t>Emissions from Purchased CO2 (kg CO2/hL)</t>
  </si>
  <si>
    <t>Total Fugitive Emissions</t>
  </si>
  <si>
    <t>Total Emissions from Fugitive Sources (kg CO2)</t>
  </si>
  <si>
    <t>Total Emissions from Fugitive Sources (kg CO2/hL)</t>
  </si>
  <si>
    <t>HVAC Refrigeration (R-507 Refrigerant)</t>
  </si>
  <si>
    <t>HVAC Refrigeration (R-410A Refrigerant)</t>
  </si>
  <si>
    <t>Emissions from R-507 Refrigerant (kg CO2)</t>
  </si>
  <si>
    <t>Emissions from R-410A Refrigerant (kg CO2)</t>
  </si>
  <si>
    <t>Emissions from R-507 Refrigerant (kg CO2/hL)</t>
  </si>
  <si>
    <t>Emissions from R-410A Refrigerant (kg CO2/hL)</t>
  </si>
  <si>
    <t>Purchased CO2 (CO2) - Purchase Data</t>
  </si>
  <si>
    <t>Mobile Refrigeration not included (see less than 1% tab)</t>
  </si>
  <si>
    <t>Note:</t>
  </si>
  <si>
    <t>The purchased CO2 data can be obtained from vendor invoices.</t>
  </si>
  <si>
    <t>Purchased CO2 is used for tank purging, bottle/keg/can purging, tank topoffs, carbonation, etc.</t>
  </si>
  <si>
    <t>Manufacturing Waste</t>
  </si>
  <si>
    <t>Enter estimates for waste generated during the entire brewing process. This should include the average distances traveled (round trip) from the brewery to the waste processing location(s).</t>
  </si>
  <si>
    <t>Product</t>
  </si>
  <si>
    <t>Composted (lb)</t>
  </si>
  <si>
    <t>Landfilled (lb)</t>
  </si>
  <si>
    <t>PWTP Screenings (lb)</t>
  </si>
  <si>
    <t>Recycled (lb)</t>
  </si>
  <si>
    <t>Land Application (lb)</t>
  </si>
  <si>
    <t>Feed (lb)</t>
  </si>
  <si>
    <t>Total (lb)</t>
  </si>
  <si>
    <t>Amber Glass</t>
  </si>
  <si>
    <t>Cardboard</t>
  </si>
  <si>
    <t>Commingle - Single Stream</t>
  </si>
  <si>
    <t>Compost/Food Waste</t>
  </si>
  <si>
    <t>E-Scrap</t>
  </si>
  <si>
    <t>Scrap Metal</t>
  </si>
  <si>
    <t>Shrink Wrap (Baled/Loose)</t>
  </si>
  <si>
    <t>Sludge</t>
  </si>
  <si>
    <t>Spent Brewing Residuals</t>
  </si>
  <si>
    <t>Trash</t>
  </si>
  <si>
    <t>Wood</t>
  </si>
  <si>
    <t>Grand Total</t>
  </si>
  <si>
    <t>Not all material sent out to be recycled actually gets recycled 100%. This only accounts for transportation associated with recycling, as the GHG savings from processing is outside of scope</t>
  </si>
  <si>
    <t>Loss rates from WARM Recycling chapter: Exhibit 2-1 (Loss rates for recovered materials)</t>
  </si>
  <si>
    <t>Total Material Recycled</t>
  </si>
  <si>
    <t>(short ton of product made per short ton of recovered material)</t>
  </si>
  <si>
    <t>Material discard that ends up in Landfills:</t>
  </si>
  <si>
    <t>lbs of cardboard</t>
  </si>
  <si>
    <t>Material = Corrugated containers</t>
  </si>
  <si>
    <t>lbs of glass</t>
  </si>
  <si>
    <t>Glass</t>
  </si>
  <si>
    <t>Material = Glass</t>
  </si>
  <si>
    <t>lbs of wood</t>
  </si>
  <si>
    <t>Material = Dimension lumber</t>
  </si>
  <si>
    <t>trash = 0 as it is not recycled</t>
  </si>
  <si>
    <t>lbs of trash</t>
  </si>
  <si>
    <t>Trash = 0 as it is not recycled</t>
  </si>
  <si>
    <t>lbs of commingle - single stream</t>
  </si>
  <si>
    <t>Material = HDPE, LDPE, PET - all listed as 78%</t>
  </si>
  <si>
    <t>lbs of aluminum</t>
  </si>
  <si>
    <t>Material = Aluminum cans</t>
  </si>
  <si>
    <t>lbs of metal</t>
  </si>
  <si>
    <t>Metal</t>
  </si>
  <si>
    <t>Material = Steel Cans</t>
  </si>
  <si>
    <t>lbs of E-Scrap</t>
  </si>
  <si>
    <t>Material = Not listed, estimated</t>
  </si>
  <si>
    <t>Total recycling (lbs)</t>
  </si>
  <si>
    <t>Total recycling ending up in landfill (lbs)</t>
  </si>
  <si>
    <t>Recycling material emission rates (transportation only)</t>
  </si>
  <si>
    <t xml:space="preserve">GHG Emissions from Recycling </t>
  </si>
  <si>
    <t>Material that is used for recycling:</t>
  </si>
  <si>
    <t>Recycling GHG emissions (excluding batteries) (MTCO2e/Short ton):</t>
  </si>
  <si>
    <t>(transportation only):</t>
  </si>
  <si>
    <t>From WARM Paper Products chapter, GHG Emissions - Exhibit 3-19</t>
  </si>
  <si>
    <t>From WARM Glass chapter, Glass GHG Emissions - Exhibit 1-16</t>
  </si>
  <si>
    <t>From WARM Yard Trimings chapter, Branches GHG Emissions - Exhibit 2-5</t>
  </si>
  <si>
    <t>None</t>
  </si>
  <si>
    <t>From WARM Plastics chapter, GHG Emissions - Exhibit 5-13 (HDPE)</t>
  </si>
  <si>
    <t>Commingle</t>
  </si>
  <si>
    <t>From WARM Metals chapter, GHG Emissions - Exhibit 2-21</t>
  </si>
  <si>
    <t>From WARM Electronics chapter, Recycling EF - Exhibit 1-22</t>
  </si>
  <si>
    <t>Recycling GHG Emissions</t>
  </si>
  <si>
    <t>Recycling GHG Emissions:</t>
  </si>
  <si>
    <t>kg CO2e/hL</t>
  </si>
  <si>
    <r>
      <t xml:space="preserve">  </t>
    </r>
    <r>
      <rPr>
        <b/>
        <sz val="11"/>
        <rFont val="Calibri"/>
        <family val="2"/>
        <scheme val="minor"/>
      </rPr>
      <t>Recycling Rates by Material</t>
    </r>
  </si>
  <si>
    <r>
      <t xml:space="preserve">    </t>
    </r>
    <r>
      <rPr>
        <b/>
        <sz val="11"/>
        <rFont val="Calibri"/>
        <family val="2"/>
        <scheme val="minor"/>
      </rPr>
      <t>Report used was EPA 'Waste Reduction Model (WARM)</t>
    </r>
    <r>
      <rPr>
        <sz val="11"/>
        <rFont val="Calibri"/>
        <family val="2"/>
        <scheme val="minor"/>
      </rPr>
      <t>"</t>
    </r>
  </si>
  <si>
    <t>https://www.epa.gov/warm/documentation-chapters-greenhouse-gas-emission-energy-and-economic-factors-used-waste-reduction</t>
  </si>
  <si>
    <t>This only accounts for transportation of landfill items as the methane production or other GHG associated with landfilling is outside of scope</t>
  </si>
  <si>
    <t>Sent to landfill:</t>
  </si>
  <si>
    <t>Loss from recycling ending up in landfill:</t>
  </si>
  <si>
    <t>Total landfill:</t>
  </si>
  <si>
    <t>lbs of steel</t>
  </si>
  <si>
    <t>lbs of personal computers</t>
  </si>
  <si>
    <t>Total material to landfill (lbs)</t>
  </si>
  <si>
    <t>Landfill material emission factors (transportation and processing)</t>
  </si>
  <si>
    <t>GHG Emissions from Landfilling:</t>
  </si>
  <si>
    <t>Material that is landfilled:</t>
  </si>
  <si>
    <t>Landfill GHG emissions (MTCO2e/Short ton):</t>
  </si>
  <si>
    <t>(transportation and processing)</t>
  </si>
  <si>
    <t>From WARM Landfilling chapter, exhibit 6-18: Corrugated (Landfills with LFG Recovery and Flaring)</t>
  </si>
  <si>
    <t>From WARM Landfilling chapter, exhibit 6-18: Glass (Landfills with LFG Recovery and Flaring)</t>
  </si>
  <si>
    <t>From WARM Landfilling chapter, exhibit 6-18: Branches (Landfills with LFG Recovery and Flaring)</t>
  </si>
  <si>
    <t>From WARM Landfilling chapter, exhibit 6-18: Mixed MSW (Landfills with LFG Recovery and Flaring)</t>
  </si>
  <si>
    <t>From WARM Landfilling chapter, exhibit 6-18: LDPE/HDPE (Landfills with LFG Recovery and Flaring)</t>
  </si>
  <si>
    <t>From WARM Landfilling chapter, exhibit 6-18: Aluminum cans (Landfills with LFG Recovery and Flaring)</t>
  </si>
  <si>
    <t>From WARM Landfilling chapter, exhibit 6-18: Steel cans (Landfills with LFG Recovery and Flaring)</t>
  </si>
  <si>
    <t>Steel</t>
  </si>
  <si>
    <t>From WARM Landfilling chapter, exhibit 6-18: Mixed electronics (Landfills with LFG Recovery and Flaring)</t>
  </si>
  <si>
    <t>Personal Computers</t>
  </si>
  <si>
    <t>lbs of compost</t>
  </si>
  <si>
    <t>From WARM Composting chapter, transportation only</t>
  </si>
  <si>
    <t>Compost</t>
  </si>
  <si>
    <t>Landfill GHG Emissions</t>
  </si>
  <si>
    <t xml:space="preserve">Emission Calculations References: </t>
  </si>
  <si>
    <r>
      <t xml:space="preserve">    </t>
    </r>
    <r>
      <rPr>
        <b/>
        <sz val="11"/>
        <rFont val="Calibri"/>
        <family val="2"/>
        <scheme val="minor"/>
      </rPr>
      <t>Report used was EPA 'Waste Reducation Model (WARM)</t>
    </r>
    <r>
      <rPr>
        <sz val="11"/>
        <rFont val="Calibri"/>
        <family val="2"/>
        <scheme val="minor"/>
      </rPr>
      <t>"</t>
    </r>
  </si>
  <si>
    <t>This only accounts for the transportation emisssions associated with by-products because the reuse of those by-products is outside of scope</t>
  </si>
  <si>
    <t>Brewing Residuals (spent grain and yeast)</t>
  </si>
  <si>
    <t>Total Sludge</t>
  </si>
  <si>
    <t>Total spent grain/yeast</t>
  </si>
  <si>
    <t>Capacity of truck</t>
  </si>
  <si>
    <t>Total # of trips</t>
  </si>
  <si>
    <t>trips</t>
  </si>
  <si>
    <t>Miles to location (RT)</t>
  </si>
  <si>
    <t>Miles per gallon</t>
  </si>
  <si>
    <t>mpg</t>
  </si>
  <si>
    <t>Emissions factor</t>
  </si>
  <si>
    <t>kg of CO2/gal</t>
  </si>
  <si>
    <t>kg of CO2</t>
  </si>
  <si>
    <t>Total trip emissions</t>
  </si>
  <si>
    <t>Total Emissions</t>
  </si>
  <si>
    <t>Total by-product emissions (kg CO2e)</t>
  </si>
  <si>
    <t>Total by-product emissions (kg CO2e/hL)</t>
  </si>
  <si>
    <r>
      <t xml:space="preserve">  </t>
    </r>
    <r>
      <rPr>
        <b/>
        <sz val="11"/>
        <rFont val="Calibri"/>
        <family val="2"/>
        <scheme val="minor"/>
      </rPr>
      <t>Capacity of truck:  A</t>
    </r>
    <r>
      <rPr>
        <sz val="11"/>
        <rFont val="Calibri"/>
        <family val="2"/>
        <scheme val="minor"/>
      </rPr>
      <t>ssume use of a class 8 heavy truck with a capacity of 20,000kg or 44,080lbs. TCC assumed the 20,000kg capacity.</t>
    </r>
  </si>
  <si>
    <r>
      <t xml:space="preserve">  </t>
    </r>
    <r>
      <rPr>
        <b/>
        <sz val="11"/>
        <rFont val="Calibri"/>
        <family val="2"/>
        <scheme val="minor"/>
      </rPr>
      <t>Miles to location based on Google maps distances (round trip)</t>
    </r>
  </si>
  <si>
    <t>Manufactured Waste</t>
  </si>
  <si>
    <r>
      <t xml:space="preserve">  </t>
    </r>
    <r>
      <rPr>
        <b/>
        <sz val="11"/>
        <rFont val="Calibri"/>
        <family val="2"/>
        <scheme val="minor"/>
      </rPr>
      <t xml:space="preserve">Capacity of truck:  </t>
    </r>
    <r>
      <rPr>
        <sz val="11"/>
        <rFont val="Calibri"/>
        <family val="2"/>
        <scheme val="minor"/>
      </rPr>
      <t>Assume use of a class 8 heavy truck with a capacity of 20,000kg or 44,080lbs. TCC assumed the 20,000kg capacity.</t>
    </r>
  </si>
  <si>
    <t>Loss Rate</t>
  </si>
  <si>
    <t>Landfilling</t>
  </si>
  <si>
    <t>Total Manufacturing Waste Emissions</t>
  </si>
  <si>
    <t>Total Emissions from Manufactured Waste (kg CO2e)</t>
  </si>
  <si>
    <t>Total Emissions from Manufactured Waste (kg CO2e/hL)</t>
  </si>
  <si>
    <t>Enter total estimated business miles traveled for all brewery-owned or leased vehicles by type. 
Update the average MPG and/or CO2 emissions factor for each class of vehicle, if needed.
Three additional lines are available for vehicle types not listed, if needed.</t>
  </si>
  <si>
    <t>Row Labels</t>
  </si>
  <si>
    <t>Total Emissions (kg CO2)</t>
  </si>
  <si>
    <t>Average MPG</t>
  </si>
  <si>
    <t>Average CO2 Emission Factor (kg/gal)</t>
  </si>
  <si>
    <t>Total Miles by Vehicle Type</t>
  </si>
  <si>
    <t>Total GHG Emissions (kg CO2/hL)</t>
  </si>
  <si>
    <t>Cars - All Electric</t>
  </si>
  <si>
    <t>Cars - Hybrid</t>
  </si>
  <si>
    <t>Cars - All Other (ICE)</t>
  </si>
  <si>
    <t>Delivery Trucks</t>
  </si>
  <si>
    <t>Emissions Factors for Gasoline and Diesel Fuel:</t>
  </si>
  <si>
    <t>https://www.nrc.gov/docs/ML1408/ML14087A259.pdf</t>
  </si>
  <si>
    <t>Emissions Factors for All Electric Vehicles: Zero from the tailpipe, but some from electricity production. This varies largely by Zip Code and power source.</t>
  </si>
  <si>
    <t>https://www.fueleconomy.gov/feg/Find.do?action=bt2</t>
  </si>
  <si>
    <t>This will be in g/mile, so the calculation is different above for this vehicle type.</t>
  </si>
  <si>
    <t>Average MPG by Vehicle Types: Search by Class and Year</t>
  </si>
  <si>
    <t>https://www.fueleconomy.gov/feg/findacar.shtml</t>
  </si>
  <si>
    <t>Corporate Air Travel</t>
  </si>
  <si>
    <t>Enter estimated passenger miles flown by brewery employees, and approximate breakdown of distances traveled by percentage. Depending on your business, air travel may be "de minumus" (less than 1% and can be omitted. See 'Ref-Less Than 1% Items' tab for more info.</t>
  </si>
  <si>
    <t>Flight Summary</t>
  </si>
  <si>
    <t>Passenger Miles flown</t>
  </si>
  <si>
    <t>CO2 Emissions (kg)</t>
  </si>
  <si>
    <t>Avg Emissions per mile (kg)</t>
  </si>
  <si>
    <t>Total Corporate Air Travel GHG Emissions</t>
  </si>
  <si>
    <t>Estimated Distribution of Miles Traveled by Distance</t>
  </si>
  <si>
    <t>Distance</t>
  </si>
  <si>
    <t>Estimated % of Total Miles</t>
  </si>
  <si>
    <t>kg CO2/passenger-mile</t>
  </si>
  <si>
    <t>Short-haul flights (&lt;300mi)</t>
  </si>
  <si>
    <t>Medium-haul flights (300mi-2300mi)</t>
  </si>
  <si>
    <t>Long-haul flights (&gt;2300mi)</t>
  </si>
  <si>
    <t>Passenger Air Transport Emission Factors</t>
  </si>
  <si>
    <t>EPA emission factors from Table 8: https://www.epa.gov/sites/production/files/2018-03/documents/emission-factors_mar_2018_0.pdf</t>
  </si>
  <si>
    <t>Enter monthly total water consumed in gallons for the brewery.</t>
  </si>
  <si>
    <t>Water Consumption</t>
  </si>
  <si>
    <t>Energy Intensity of Treated Water</t>
  </si>
  <si>
    <t>Water Used (gal)</t>
  </si>
  <si>
    <t>kWh per million gallons of water (for treatment and distribution per EPA)</t>
  </si>
  <si>
    <t>kWh per gallon of water</t>
  </si>
  <si>
    <t>Emission from Treated Water Used</t>
  </si>
  <si>
    <t>Total gallons used to produce beer</t>
  </si>
  <si>
    <t>kWh consumed to treat water used</t>
  </si>
  <si>
    <t>Emission Factor (Kg CO2/kWh)</t>
  </si>
  <si>
    <t>Total emissions from treated water (kg CO2)</t>
  </si>
  <si>
    <t>Total emissions from treated water (kg CO2/hL)</t>
  </si>
  <si>
    <t>Calculated Emission Factor (gal of water/Kg CO2)</t>
  </si>
  <si>
    <t>Total Emissions from Treated Water</t>
  </si>
  <si>
    <t>Total emissions from all treated water</t>
  </si>
  <si>
    <t>Energy Intensity of Treated Water:</t>
  </si>
  <si>
    <t>Estimate of 1500kWh/million gallons for treatment of drinking water comes from EPA P2 GHG Calculator: https://www.epa.gov/p2/pollution-prevention-tools-and-calculators</t>
  </si>
  <si>
    <t>Energy Emission Factor: Pulled from Brewery-Electricity worksheet</t>
  </si>
  <si>
    <t>Malt Purchases</t>
  </si>
  <si>
    <t>Enter total malt purchases and average distance from maltster(s) to the brewery.
This tab assumes all malt transport is by tractor trailer. If some transport is by rail, use 19.71 g CO2e/metric ton-mile as EF for associated miles.</t>
  </si>
  <si>
    <t>Beer brewed (bbls)</t>
  </si>
  <si>
    <t>Conversion: bbls to 6-pack</t>
  </si>
  <si>
    <t>Beer brewed (6-pack equivalents)</t>
  </si>
  <si>
    <t>Conversion: Number of bottles in 6-pack</t>
  </si>
  <si>
    <t>Beer brewed (bottle equivalents)</t>
  </si>
  <si>
    <t>BIER Malt emission factor (kg CO2e/bottle) - malt production only</t>
  </si>
  <si>
    <t>Total malt production emissions (kg CO2e)</t>
  </si>
  <si>
    <t>Total malts purchased (tons)</t>
  </si>
  <si>
    <t>Average distance from Maltster(s) to brewery (miles)</t>
  </si>
  <si>
    <t>Transportation Emission Factor (kg CO2e/ton-mi)</t>
  </si>
  <si>
    <t>Total malt transportation emissions (kg CO2e)</t>
  </si>
  <si>
    <t>Total malt emissions (kg CO2e)</t>
  </si>
  <si>
    <t>Total malt emissions (kg CO2e/hL)</t>
  </si>
  <si>
    <t>Total Emissions from Malt</t>
  </si>
  <si>
    <t>Total emissions from malt (kg CO2e)</t>
  </si>
  <si>
    <t>Total emissions from malt (kg CO2e/hL)</t>
  </si>
  <si>
    <t>BIER - Malt Production/Transportation Only</t>
  </si>
  <si>
    <t>Malt Production Only - Baseline malt emission factor - from BIER - NA - DRAFT 10-26-11 (0.023468 is only number for all three scenarios. Only factor that changes with malt is seed production)</t>
  </si>
  <si>
    <t>Malt Production/Transportation Only - Baseline malt emission factor - from BIER - NA - DRAFT 10-26-11 (0.027468 is only number for all three scenarios. Only factor that changes with malt is seed production)</t>
  </si>
  <si>
    <t>Tons = short tons (2,000 lbs)</t>
  </si>
  <si>
    <t>Barley Production</t>
  </si>
  <si>
    <t>Malt purchases data comes from the Upstream-Malt tab automatically.
Enter average distance from farm to maltster(s).</t>
  </si>
  <si>
    <t>Seed Production (g CO2e/12 oz)</t>
  </si>
  <si>
    <t>Agricultural Machinery (g CO2e/12 oz)</t>
  </si>
  <si>
    <t>Irrigation (g CO2e/12 oz)</t>
  </si>
  <si>
    <t>Fertilizer (g CO2e/12 oz)</t>
  </si>
  <si>
    <t>Soil Emissions (g CO2e/12 oz)</t>
  </si>
  <si>
    <t>Total barley emission factor (g CO2e/12 oz)</t>
  </si>
  <si>
    <t>Conversion (g to kg)</t>
  </si>
  <si>
    <t>Total barley emissions (kg CO2e/12oz)</t>
  </si>
  <si>
    <t>Total agriculture emissions (kg CO2e)</t>
  </si>
  <si>
    <t>Total malt purchased from maltster(s) (tons)</t>
  </si>
  <si>
    <t>Distance from farm to maltster(s) (miles)</t>
  </si>
  <si>
    <t>Total transportation emissions (kg CO2e)</t>
  </si>
  <si>
    <t>Total barley emissions (kg CO2e)</t>
  </si>
  <si>
    <t>Total barley emissions (kg CO2e/hL)</t>
  </si>
  <si>
    <t>Total Emissions from Barley</t>
  </si>
  <si>
    <t>Total emissions from barley (kg CO2e)</t>
  </si>
  <si>
    <t>Total emissions from barley (kg CO2e/hL)</t>
  </si>
  <si>
    <t>Barley Agriculture Emission Factor - Using BIER data</t>
  </si>
  <si>
    <t>This emission factor comes from BIER emission factors as of 10-26-2011 (Beverage Ingredients tab, average values)</t>
  </si>
  <si>
    <t>Emissions from Creating and Transporting Purchased CO2</t>
  </si>
  <si>
    <t>This tab calculates emissions only from the creation and shipping of CO2 that is used by the brewery (Scope 3), while the 'Brewery-Fugitive' tab counts the actual usage of that CO2 as Scope 1.
Enter total CO2 purchases, number of shipments, and average distance from provider to the brewery.</t>
  </si>
  <si>
    <t>CO2 Emissions from energy for CO2 liquefaction (from a by-product source)</t>
  </si>
  <si>
    <t>Energy emissions</t>
  </si>
  <si>
    <t>Specific Power (kwh/ton CO2)</t>
  </si>
  <si>
    <t>Energy emission factor for Electricity (lbs CO2/MWh)</t>
  </si>
  <si>
    <t>Energy emission factor for Electricity (kg CO2/MWh)</t>
  </si>
  <si>
    <t>Energy emission factor for Electricity (kg CO2/kWh)</t>
  </si>
  <si>
    <t>kg CO2 released/ton CO2 created</t>
  </si>
  <si>
    <t>Indirect emissions - emissions from processing CO2</t>
  </si>
  <si>
    <t>Indirect emissions (lb CO2/ton CO2)</t>
  </si>
  <si>
    <t>Conversion factor - lbs to kg</t>
  </si>
  <si>
    <t>Total emissions from CO2 liquefication</t>
  </si>
  <si>
    <t>Total kg CO2 released/ton CO2 created</t>
  </si>
  <si>
    <t>CO2 purchased (lb) [From 'Brewery-Fugitive' tab]</t>
  </si>
  <si>
    <t>CO2 purchased (kg)</t>
  </si>
  <si>
    <t>Conversion factor - kg to ton</t>
  </si>
  <si>
    <t>Total emissions due to liquefication (kg CO2)</t>
  </si>
  <si>
    <t>Total emissions due to liquefication (kg CO2/hL)</t>
  </si>
  <si>
    <t>Emissions due to transporting CO2 to Brewery</t>
  </si>
  <si>
    <t>Emissions per shipment of CO2</t>
  </si>
  <si>
    <t>Miles Driven</t>
  </si>
  <si>
    <t>Gallons</t>
  </si>
  <si>
    <t>Fuel Emission Factor (kg CO2/gal)</t>
  </si>
  <si>
    <t>Total kg CO2</t>
  </si>
  <si>
    <t>Provider to Brewery</t>
  </si>
  <si>
    <t>Total kg CO2 per shipment:</t>
  </si>
  <si>
    <t>Shipments of CO2 to Brewery</t>
  </si>
  <si>
    <t>CO2 per shipment (kg)</t>
  </si>
  <si>
    <t>Total emissions from transporting CO2 to Brewery (kg CO2)</t>
  </si>
  <si>
    <t>Total emissions from transporting CO2 to Brewery (kg CO2/hL)</t>
  </si>
  <si>
    <t>Total emissions from purchased CO2 (kg CO2)</t>
  </si>
  <si>
    <t>Total emissions from purchased CO2 (kg CO2/hL)</t>
  </si>
  <si>
    <t>CO2 purchased (lb)</t>
  </si>
  <si>
    <t>Total AVL.FTC Emissions from Purchased CO2</t>
  </si>
  <si>
    <t>Total emissions from all purchased CO2</t>
  </si>
  <si>
    <t>CO2 creation from a by-product source - Energy emission factor</t>
  </si>
  <si>
    <t>This emission factor is for liquefying by-product-based CO2.</t>
  </si>
  <si>
    <t>The Emission Factor for 'the specific power of liquid CO2 refining from a by-product source' is taken from an Air Liquide distributor.</t>
  </si>
  <si>
    <r>
      <rPr>
        <b/>
        <sz val="11"/>
        <color rgb="FF000000"/>
        <rFont val="Calibri"/>
        <family val="2"/>
        <scheme val="minor"/>
      </rPr>
      <t>Energy Emission Factor</t>
    </r>
    <r>
      <rPr>
        <sz val="11"/>
        <color indexed="8"/>
        <rFont val="Calibri"/>
        <family val="2"/>
        <scheme val="minor"/>
      </rPr>
      <t>: See Electricity worksheet notes</t>
    </r>
  </si>
  <si>
    <t>CO2 creation from a by-product source - Indirect emission factor</t>
  </si>
  <si>
    <t>The Emission Factor for 'Indirect carbon emissions' is taken from an Air Liquide distributor.</t>
  </si>
  <si>
    <t>Truck (CO2 tanker truck) Capacity:</t>
  </si>
  <si>
    <t>TCC assumed a shipping capacity of 29,780 kg for 18 wheeler tanker trucks</t>
  </si>
  <si>
    <t>Glass Purchases</t>
  </si>
  <si>
    <t>Enter the total number of bottles purchased by size with the average number of bottles per shipment and the average distance between the vendor(s) and brewery.</t>
  </si>
  <si>
    <t>Emissions from glass production - 12oz</t>
  </si>
  <si>
    <t>Total bottles purchased (number)</t>
  </si>
  <si>
    <t>Glass emission factor (kg CO2e/12 oz bottle)</t>
  </si>
  <si>
    <t>Bottle weight (g)</t>
  </si>
  <si>
    <t>Glass emission factor (kg CO2e/g)</t>
  </si>
  <si>
    <t>Glass emssion factor (g CO2e/g)</t>
  </si>
  <si>
    <t>Emissions from glass production (kg CO2e)</t>
  </si>
  <si>
    <t>hL Packaged (hL)</t>
  </si>
  <si>
    <t>Emissions from glass production (kg CO2e/hL)</t>
  </si>
  <si>
    <t>Emissions from glass production - 22oz</t>
  </si>
  <si>
    <t>Glass emission factor (kg CO2e/22 oz bottle)</t>
  </si>
  <si>
    <t>Emissions from glass transportation - 12oz</t>
  </si>
  <si>
    <t>Total 12oz bottles per truckload (number)</t>
  </si>
  <si>
    <t>Shipments of bottles</t>
    <phoneticPr fontId="44" type="noConversion"/>
  </si>
  <si>
    <t>Distance between Vendor and Brewery (miles)</t>
  </si>
  <si>
    <t>Fuel economy of trailer truck (miles/gal)</t>
  </si>
  <si>
    <t>Shipment fuel use (gal)</t>
  </si>
  <si>
    <t>Emissions per shipment (kg CO2)</t>
  </si>
  <si>
    <t>Emissions from glass transport (kg CO2)</t>
  </si>
  <si>
    <t>Emissions from glass transport (kg CO2e/hL)</t>
  </si>
  <si>
    <t>Emissions from glass transportation - 22oz</t>
  </si>
  <si>
    <t>Glass Emission Totals</t>
  </si>
  <si>
    <t>Total glass emissions (kg CO2)</t>
  </si>
  <si>
    <t>Total glass emissions (kg CO2/hL)</t>
  </si>
  <si>
    <t>Total Glass Emissions</t>
  </si>
  <si>
    <t>Glass Emission Factor / CO2 Emission Factor Per Bottle:</t>
  </si>
  <si>
    <t>The emission factor is estimated</t>
  </si>
  <si>
    <t>(Value: 0.245 Glass emission factor (kg CO2e/bottle))</t>
  </si>
  <si>
    <t>Note: As of 2018, BIER does not currently have an emission factor for glass</t>
  </si>
  <si>
    <t>Total 12oz Bottles Per Truckload / Capacity of Class 8 Heavy Truck:</t>
  </si>
  <si>
    <t xml:space="preserve">Estimate that each full truckload contains 89,100 12oz bottles. </t>
  </si>
  <si>
    <t>Aluminum Purchases</t>
  </si>
  <si>
    <t>Enter the total number of cans purchased by size (and can ends), and the average shipment size and average distance from the vendor(s) to the brewery.</t>
  </si>
  <si>
    <t>Emissions from 12oz aluminum production - BIER Guidelines</t>
  </si>
  <si>
    <t>Total cans purchased (number)</t>
  </si>
  <si>
    <t>Can Weight (g)</t>
  </si>
  <si>
    <t>Total cans purchased (g)</t>
  </si>
  <si>
    <t>Aluminum emission factor (g CO2e/g) - recycled content</t>
  </si>
  <si>
    <t>Emissions from aluminum production (g CO2e)</t>
  </si>
  <si>
    <t>Emissions from aluminum production (kg CO2e)</t>
  </si>
  <si>
    <t>Emissions from aluminum production (kg CO2e/hL)</t>
  </si>
  <si>
    <t>Emissions from 16oz aluminum production - BIER Guidelines</t>
  </si>
  <si>
    <t>Emissions from 19.2oz aluminum production - BIER Guidelines</t>
  </si>
  <si>
    <t>Emissions from 24oz aluminum production - BIER Guidelines</t>
  </si>
  <si>
    <t>Emissions from can ends</t>
  </si>
  <si>
    <t>Can ends (2.39g) are already added into the weight of each can above</t>
  </si>
  <si>
    <t>Ex. 12oz can: 10.9g, can end: 2.39g, total 12oz can weight: 13.29g</t>
  </si>
  <si>
    <t>Emissions from 12oz aluminum transportation</t>
  </si>
  <si>
    <t>Total 12oz cans per truckload (number)</t>
  </si>
  <si>
    <t>Shipments of cans</t>
  </si>
  <si>
    <t>Emissions from aluminum transport (kg CO2)</t>
  </si>
  <si>
    <t>Emissions from aluminum transport (kg CO2/hL)</t>
  </si>
  <si>
    <t>Emissions from 16oz aluminum transportation</t>
  </si>
  <si>
    <t>Total 16oz cans per truckload (number)</t>
  </si>
  <si>
    <t>Emissions from 19.2oz aluminum transportation</t>
  </si>
  <si>
    <t>Total 19.2oz cans per truckload (number)</t>
  </si>
  <si>
    <t>Emissions from 24oz aluminum transportation</t>
  </si>
  <si>
    <t>Total 24oz cans per truckload (number)</t>
  </si>
  <si>
    <t>Emissions from can ends (all)</t>
  </si>
  <si>
    <t>Shipments of can ends</t>
  </si>
  <si>
    <t>Total Emissions from aluminum</t>
  </si>
  <si>
    <t>Total aluminum emissions (kg CO2)</t>
  </si>
  <si>
    <t>Total aluminum emissions (kg CO2/hL)</t>
  </si>
  <si>
    <t>Both Facilities DATA</t>
  </si>
  <si>
    <t>Aluminum Emission Factor:</t>
  </si>
  <si>
    <t>From BIER guidelines, DRAFT data - Workbook: Packaging materials - Aluminum can production - closed loop (9.86g CO2e/g), recycled content (8.53g CO2e/g)</t>
  </si>
  <si>
    <t>Total 12oz Cans Per Truckload / Capacity of Class 8 Heavy Truck:</t>
  </si>
  <si>
    <t xml:space="preserve">Estimate that each truckload contains 171,160 120z cans, 136,928 16oz cans, 111,254 19.2oz cans, 82,896 cans. </t>
  </si>
  <si>
    <t>This is a more accurate way to determine total number of trucks than weight.</t>
  </si>
  <si>
    <t>Can Ends:</t>
  </si>
  <si>
    <t>Can ends are already part of the overall can weight. Empty can without a can end is 10.9g, can end is 2.39g, total 12oz can weight is 13.29g</t>
  </si>
  <si>
    <t>Fiber Packaging</t>
  </si>
  <si>
    <t>Enter the total number of fiberboard and cardboard packaging units purchased by size/type.</t>
  </si>
  <si>
    <t>6 packs carriers bottle</t>
  </si>
  <si>
    <t>4 packs carriers can</t>
  </si>
  <si>
    <t>6 pack 12oz can box</t>
  </si>
  <si>
    <t>12 pack 12oz can box</t>
  </si>
  <si>
    <t>24 pack 16oz can box</t>
  </si>
  <si>
    <t>Weight of a 6 packs carriers bottle (g)</t>
  </si>
  <si>
    <t>Weight of a 4 packs carriers can (g)</t>
  </si>
  <si>
    <t>Weight of a 6 pack 12oz can box (g)</t>
  </si>
  <si>
    <t>Weight of a 12 pack 12oz can box (g)</t>
  </si>
  <si>
    <t>Weight of a 24 pack 16oz can box (g)</t>
  </si>
  <si>
    <t>Total weight of a 6 packs carriers bottle (g)</t>
  </si>
  <si>
    <t>Total weight of a 4 packs carriers can (g)</t>
  </si>
  <si>
    <t>Total weight of a 6 pack 12oz can box (g)</t>
  </si>
  <si>
    <t>Total weight of a 12 pack 12oz can box (g)</t>
  </si>
  <si>
    <t>Total weight of a 24 pack 16oz can box (g)</t>
  </si>
  <si>
    <t>Recycled content emission factor (g CO2e/g)</t>
  </si>
  <si>
    <t>Emissions from 6 packs carriers bottle (g CO2e)</t>
  </si>
  <si>
    <t>Emissions from 4 packs carriers can (g CO2e)</t>
  </si>
  <si>
    <t>Emissions from 6 pack 12oz can box (g CO2e)</t>
  </si>
  <si>
    <t>Emissions from 12 pack 12oz can box (g CO2e)</t>
  </si>
  <si>
    <t>Emissions from 24 pack 16oz can box (g CO2e)</t>
  </si>
  <si>
    <t>Emissions from 6 packs carriers bottle (kg CO2e)</t>
  </si>
  <si>
    <t>Emissions from 4 packs carriers can (kg CO2e)</t>
  </si>
  <si>
    <t>Emissions from 6 pack 12oz can box (kg CO2e)</t>
  </si>
  <si>
    <t>Emissions from 12 pack 12oz can box (kg CO2e)</t>
  </si>
  <si>
    <t>Emissions from 24 pack 16oz can box (kg CO2e)</t>
  </si>
  <si>
    <t>Total fiberboard weight (kg)</t>
  </si>
  <si>
    <t>Total fiberboard packaging emissions (kg CO2e)</t>
  </si>
  <si>
    <t>Total fiberboard packaging emissions (kg CO2e/hL)</t>
  </si>
  <si>
    <t>Mothercartons bottle</t>
  </si>
  <si>
    <t>24 pack 12oz bottle</t>
  </si>
  <si>
    <t>12 pack 12oz bottle</t>
  </si>
  <si>
    <t>12 pack tray bottle</t>
  </si>
  <si>
    <t>6 pack and 12 pack tray can</t>
  </si>
  <si>
    <t>15 pack 12oz can</t>
  </si>
  <si>
    <t>24 pack 12oz can</t>
  </si>
  <si>
    <t>15 pack 19.2oz can</t>
  </si>
  <si>
    <t>Weight of a Mothercarton bottle (g)</t>
  </si>
  <si>
    <t>Weight of a 24 pack 12oz bottle (g)</t>
  </si>
  <si>
    <t>Weight of a 12 pack 12oz bottle (g)</t>
  </si>
  <si>
    <t>Weight of a 12 pack tray bottle (g)</t>
  </si>
  <si>
    <t>Weight of a 6 pack and 12 pack tray can (g)</t>
  </si>
  <si>
    <t>Weight of a 15 pack and 12oz can (g)</t>
  </si>
  <si>
    <t>Weight of a 24 pack and 12oz can (g)</t>
  </si>
  <si>
    <t>Weight of a 15 pack and 19.2oz can (g)</t>
  </si>
  <si>
    <t>Total weight of a Mothercarton bottle (g)</t>
  </si>
  <si>
    <t>Total weight of a 24 pack 12oz bottle (g)</t>
  </si>
  <si>
    <t>Total weight of a 12 pack 12oz bottle (g)</t>
  </si>
  <si>
    <t>Total weight of a 12 pack tray bottle (g)</t>
  </si>
  <si>
    <t>Total weight of a 6 pack and 12 pack tray can (g)</t>
  </si>
  <si>
    <t>Total weight of a 15 pack and 12oz can (g)</t>
  </si>
  <si>
    <t>Total weight of a 24 pack and 12oz can (g)</t>
  </si>
  <si>
    <t>Total weight of a 15 pack and 19.2oz can (g)</t>
  </si>
  <si>
    <t>Emissions from Mothercarton bottle (g CO2e)</t>
  </si>
  <si>
    <t>Emissions from 24 pack 12oz bottle (g CO2e)</t>
  </si>
  <si>
    <t>Emissions from 12 pack 12oz bottle (g CO2e)</t>
  </si>
  <si>
    <t>Emissions from 12 pack tray bottle (g CO2e)</t>
  </si>
  <si>
    <t>Emissions from 6 pack and 12 pack tray can (g CO2e)</t>
  </si>
  <si>
    <t>Emissions from 15 pack and 12oz can (g CO2e)</t>
  </si>
  <si>
    <t>Emissions from 24 pack and 12oz can (g CO2e)</t>
  </si>
  <si>
    <t>Emissions from 15 pack and 19.2oz can (g CO2e)</t>
  </si>
  <si>
    <t>Emissions from Mothercarton bottle (kg CO2e)</t>
  </si>
  <si>
    <t>Emissions from 24 pack 12oz bottle (kg CO2e)</t>
  </si>
  <si>
    <t>Emissions from 12 pack 12oz bottle (kg CO2e)</t>
  </si>
  <si>
    <t>Emissions from 12 pack tray bottle (kg CO2e)</t>
  </si>
  <si>
    <t>Emissions from 6 pack and 12 pack tray can (kg CO2e)</t>
  </si>
  <si>
    <t>Emissions from 15 pack and 12oz can (kg CO2e)</t>
  </si>
  <si>
    <t>Emissions from 24 pack and 12oz can (kg CO2e)</t>
  </si>
  <si>
    <t>Emissions from 15 pack and 19.2oz can (kg CO2e)</t>
  </si>
  <si>
    <t>Total corrugated packaging weight (kg)</t>
  </si>
  <si>
    <t>Total corrugated packaging emissions (kg CO2e)</t>
  </si>
  <si>
    <t>Total corrugated packaging emissions (kg CO2e/hL)</t>
  </si>
  <si>
    <t>Total Fiber Packaging Emissions</t>
  </si>
  <si>
    <t>Total fiber packaging emissions (kg CO2e)</t>
  </si>
  <si>
    <t>Total fiber packaging emissions (kg CO2e/hL)</t>
  </si>
  <si>
    <t>Total Emissions from Fiber Packaging</t>
  </si>
  <si>
    <t>Total emissions from fiber packaging (kg CO2e)</t>
  </si>
  <si>
    <t>Total emissions from fiber packaging (kg CO2e/hL)</t>
  </si>
  <si>
    <t>Fiber Packaging Transportation</t>
  </si>
  <si>
    <t>No calculations available at this time</t>
  </si>
  <si>
    <t>BIER - Packaging EFs</t>
  </si>
  <si>
    <t>Emission factors for fiberboard and corrugated.</t>
  </si>
  <si>
    <t>EF's used are based on 100% recycled contet input. BIER default values for Fiberboard is 0% recycled content and Corrugated is 35% recycled content</t>
  </si>
  <si>
    <t>Enter total volume of beer sold by package size and average number of miles to primary distributors in each state. Add rows as necessary for additional states/distributors, and ensure any new rows added are included in totals.                       Also update estimated percentage of retail sales on-site.</t>
  </si>
  <si>
    <t>Number of cases sold - bottles (12oz)</t>
  </si>
  <si>
    <t>Number of cases sold - cans (12oz)</t>
  </si>
  <si>
    <t>Number of cases sold - cans (16oz)</t>
  </si>
  <si>
    <t>Number of cases - cans (19.2oz)</t>
  </si>
  <si>
    <t>Number of kegs sold (1/2 bbl)</t>
  </si>
  <si>
    <t>Number of kegs sold (1/6 bbl)</t>
  </si>
  <si>
    <t>Weight of case of bottles (12oz) - lb</t>
  </si>
  <si>
    <t>Weight of case of cans (12oz) - lb</t>
  </si>
  <si>
    <t>Weight of case of cans (16oz) - lb</t>
  </si>
  <si>
    <t>Weight of case of cans (19.2oz) - lb</t>
  </si>
  <si>
    <t>Weight of keg (1/2 bbl) - lb</t>
  </si>
  <si>
    <t>Weight of keg (1/6 bbl) - lb</t>
  </si>
  <si>
    <t>Total weight of case of bottles (12oz) - lb</t>
  </si>
  <si>
    <t>Total weight of case of cans (12oz) - lb</t>
  </si>
  <si>
    <t>Total weight of case of cans (16oz) - lb</t>
  </si>
  <si>
    <t>Total weight of case of cans (19.2oz) - lb</t>
  </si>
  <si>
    <t>Total weight of keg (1/2 bbl) - lb</t>
  </si>
  <si>
    <t>Total weight of keg (1/6 bbl) - lb</t>
  </si>
  <si>
    <t>Total weight (lbs)</t>
  </si>
  <si>
    <t>Total weight (tons)</t>
  </si>
  <si>
    <t>Note: mileage data can be entered multiple ways:
1. Miles to each state, averaged
2. Miles to each distributor, averaged
3. Average miles/load - estimated</t>
  </si>
  <si>
    <t>Miles to state or distributor</t>
  </si>
  <si>
    <t>Average miles to state or distributor</t>
  </si>
  <si>
    <t>Average miles per load</t>
  </si>
  <si>
    <t>Percentage of packaged product sold on site (%)</t>
  </si>
  <si>
    <t>Total weight shipped (tons)</t>
  </si>
  <si>
    <t>Total miles</t>
  </si>
  <si>
    <t>Total ton-mi</t>
  </si>
  <si>
    <t>Total distribution emissions (kg CO2e)</t>
  </si>
  <si>
    <t>Total distribution emissions (kg CO2e/hL)</t>
  </si>
  <si>
    <t>Total Emissions from Distribution</t>
  </si>
  <si>
    <t>Total emissions from distribution (kg CO2e)</t>
  </si>
  <si>
    <t>Total emissions from distribution (kg CO2e/hL)</t>
  </si>
  <si>
    <t>Retail</t>
  </si>
  <si>
    <t>Enter the average retail data for your off-premise beer sales.</t>
  </si>
  <si>
    <t>Off-Premise Data (Liquor Store and Supermarket Emissions) - All Off-Premise emissions are bottles or cans</t>
  </si>
  <si>
    <t>Off-Premise Hotel Load Data</t>
  </si>
  <si>
    <r>
      <t xml:space="preserve">Hotel Load Emissions Equation from BIER: </t>
    </r>
    <r>
      <rPr>
        <i/>
        <sz val="11"/>
        <color theme="1"/>
        <rFont val="Calibri"/>
        <family val="2"/>
        <scheme val="minor"/>
      </rPr>
      <t>Hotel Load is the energy used by the retailer to provide light and control temperature at the retail space</t>
    </r>
  </si>
  <si>
    <t>Hotel Load Emissions (kg CO2e / functional unit) = A*B*C*D*E</t>
  </si>
  <si>
    <t>TERM</t>
  </si>
  <si>
    <t>UNITS</t>
  </si>
  <si>
    <t>A = Average daily kWh use of Retailer</t>
  </si>
  <si>
    <t>kWh/day</t>
  </si>
  <si>
    <t>B = Share of store space dedicated to reporting company sales</t>
  </si>
  <si>
    <t>%</t>
  </si>
  <si>
    <t>C = Share of company sales area taken by functional unit of product</t>
  </si>
  <si>
    <r>
      <t xml:space="preserve">D = Residence time of functional unit </t>
    </r>
    <r>
      <rPr>
        <i/>
        <sz val="11"/>
        <color theme="1"/>
        <rFont val="Calibri"/>
        <family val="2"/>
        <scheme val="minor"/>
      </rPr>
      <t>(Default = 1 day)</t>
    </r>
  </si>
  <si>
    <t>Days</t>
  </si>
  <si>
    <t>E = Factor electricity grid mixture conversion factors (with inefficiency of the upper supply chain</t>
  </si>
  <si>
    <t>kg CO2 / kWh</t>
  </si>
  <si>
    <t>Off-Premise Liquor Store Hotel Load Emissions - Bottle</t>
  </si>
  <si>
    <t>kWh/day</t>
    <phoneticPr fontId="44" type="noConversion"/>
  </si>
  <si>
    <t>A</t>
  </si>
  <si>
    <t>Store sq ft used by our bottles/cans (%)</t>
  </si>
  <si>
    <t>B</t>
  </si>
  <si>
    <t>Percentage of our space used by 1 6-pack</t>
  </si>
  <si>
    <t>Average number of days 1 6-pack stays in store (days)</t>
  </si>
  <si>
    <t>D</t>
  </si>
  <si>
    <t>Avg life cycle emissions of grid connected electricity in US (kg CO2e/kWh)</t>
  </si>
  <si>
    <t>E</t>
  </si>
  <si>
    <t>Off-Premise Hotel Load Emissions Emission Factor - Bottle (kg CO2e/6-pack)</t>
  </si>
  <si>
    <t>Conversion Factor (6-pack to bottle)</t>
  </si>
  <si>
    <t>Off-Premise Hotel Load Emissions Emission Factor - Bottle (kg CO2e/bottle)</t>
  </si>
  <si>
    <t>Beer barrels shipped as bottles and cans (bbls) - All locations</t>
  </si>
  <si>
    <t>Conversion (bbl to 6-pack)</t>
  </si>
  <si>
    <t>Bottled and can beer shipped (6-packs)</t>
  </si>
  <si>
    <t>Off-Premise Hotel Load Emissions (kg CO2e)</t>
  </si>
  <si>
    <t>Off-Premise Hotel Load Emissions (kg CO2e/hL)</t>
  </si>
  <si>
    <t>Off-Premise Cooler/Refrigeration Load Data</t>
  </si>
  <si>
    <t>Cooler/Vendor Emissions Equation from BIER:</t>
  </si>
  <si>
    <t>Cooling Emissions (g CO2e / unit) = ( [A*C*(E-F) + B*D*(E-F)]*[1+H*G] / I ) * J*K*L*M</t>
  </si>
  <si>
    <t>Off-Premise Cooler/Refrigeration Emissions - Bottle</t>
  </si>
  <si>
    <t>A = Mass of Liquid / Product</t>
  </si>
  <si>
    <t>Mass of one beer without bottle, liquid only (kg)</t>
  </si>
  <si>
    <t>A - BIER</t>
  </si>
  <si>
    <t>B = Mass of Primary Packaging</t>
  </si>
  <si>
    <t>Mass of primary packaging (kg)</t>
  </si>
  <si>
    <t>B - BIER</t>
  </si>
  <si>
    <t>C = Specific Heat Capacity Liquid/Product</t>
  </si>
  <si>
    <t>kJ/K kg</t>
  </si>
  <si>
    <t>Specific heat capacity of beer -- water used as proxy (kJ/K kg)</t>
  </si>
  <si>
    <t>C - Standard</t>
  </si>
  <si>
    <t>D = Specific Heat Capacity Packaging Material</t>
  </si>
  <si>
    <t>Specific heat capacity of glass (kJ/K kg)</t>
  </si>
  <si>
    <t>D - BIER</t>
  </si>
  <si>
    <t>E = Store/Retail Temperature</t>
  </si>
  <si>
    <t>°C or °F</t>
  </si>
  <si>
    <t>Temperature of retail store (deg F) (18 deg C)</t>
  </si>
  <si>
    <t>E - BIER</t>
  </si>
  <si>
    <t>F = Chill to Temperature (Company recommended sale temperature)</t>
  </si>
  <si>
    <t>Temperature beer chilled to (deg F) (4.44 deg C)</t>
  </si>
  <si>
    <t>F - Est./BIER</t>
  </si>
  <si>
    <r>
      <t xml:space="preserve">G = Number of days stored in the refrigerator </t>
    </r>
    <r>
      <rPr>
        <i/>
        <sz val="11"/>
        <color indexed="8"/>
        <rFont val="Calibri"/>
        <family val="2"/>
      </rPr>
      <t>(Default - 4 days)</t>
    </r>
  </si>
  <si>
    <t>Refrigerator storage time (days)</t>
  </si>
  <si>
    <t>G - BIER</t>
  </si>
  <si>
    <t>H = Loads vendors/coolers multiplier (Door opening only, fixed at 3)</t>
  </si>
  <si>
    <t>Loads vendors/coolers multiplier -- door opening coefficient</t>
    <phoneticPr fontId="44" type="noConversion"/>
  </si>
  <si>
    <t>H - BIER</t>
  </si>
  <si>
    <r>
      <t xml:space="preserve">I = Coefficient of Performance (COP) of chiller cooler/vendors </t>
    </r>
    <r>
      <rPr>
        <i/>
        <sz val="11"/>
        <color indexed="8"/>
        <rFont val="Calibri"/>
        <family val="2"/>
      </rPr>
      <t>(Default = 2.5)</t>
    </r>
  </si>
  <si>
    <t>Coefficient of performance of refrigerators</t>
    <phoneticPr fontId="44" type="noConversion"/>
  </si>
  <si>
    <t>I - BIER</t>
  </si>
  <si>
    <t>J = Conversion of Kilojoule to Kilowatt-hour = 0.00028</t>
  </si>
  <si>
    <t>k Wh/kJ</t>
  </si>
  <si>
    <t>Conversion kilojoule to kWh</t>
    <phoneticPr fontId="44" type="noConversion"/>
  </si>
  <si>
    <t>J - Standard</t>
  </si>
  <si>
    <t xml:space="preserve">K = Electricity grid mixture conversion factors (with inefficiency of the upper supply chain) </t>
  </si>
  <si>
    <t>kg CO2/kWh</t>
  </si>
  <si>
    <t>Emissions of grid connected electricity in US (kg CO2/kwh)</t>
  </si>
  <si>
    <t>K - BIER</t>
  </si>
  <si>
    <t>Percent of product cooled at retail (some product sold room temp)</t>
  </si>
  <si>
    <t>L - Est.</t>
  </si>
  <si>
    <t>L = Percent product cooled at retail</t>
  </si>
  <si>
    <t>Cooler/Refrig Emissions Emission Factor (kg CO2e/bottle)</t>
  </si>
  <si>
    <t>M = Conversion of kilograms to grams = 1000</t>
  </si>
  <si>
    <t xml:space="preserve"> g/kg</t>
  </si>
  <si>
    <t>Conversion factor (bottle to 6-pack)</t>
  </si>
  <si>
    <t>Cooler/Refrig Emissions Emission Facotor (kg CO2e/6-pack)</t>
  </si>
  <si>
    <t>Off-Premise Cooler/Refrig Emissions (kg CO2e)</t>
  </si>
  <si>
    <t>Off-Premise Cooler/Refrig Emissions (kg CO2e/hL)</t>
  </si>
  <si>
    <t>Total Off-Premise Emissions</t>
  </si>
  <si>
    <t>Total Hotel and Cooler Loads from Off-Premise (kg CO2e)</t>
  </si>
  <si>
    <t>Total Hotel and Cooler Loads from Off-Premise (kg CO2e/hL)</t>
  </si>
  <si>
    <t>On-Premise Data (Restaurant and Bar Emissions) - All On-Premise emissions are kegs</t>
  </si>
  <si>
    <t>On-Premise Hotel Load Data</t>
  </si>
  <si>
    <t>Hotel Load Emissions Equation from BIER:</t>
  </si>
  <si>
    <t>On-Premise Hotel Load Emissions - Keg</t>
  </si>
  <si>
    <t>Avg daily electricity consumption of convenience store in US (kWh/day)</t>
  </si>
  <si>
    <t>Store sq ft used by our kegs (%)</t>
  </si>
  <si>
    <t>Percentage of Brewery's keg space used by one keg</t>
  </si>
  <si>
    <t>Average number of days one keg stays in store (days)</t>
  </si>
  <si>
    <t>On-Premise Load Emissions Emission Factor - Keg (kg CO2e/keg)</t>
  </si>
  <si>
    <t>Beer barrels shipped as kegs (bbls)</t>
  </si>
  <si>
    <t>Conversion Factor (bbls to kegs)</t>
  </si>
  <si>
    <t>Kegs shipped (kegs)</t>
  </si>
  <si>
    <t>On-Premise Load Emissions (kg CO2e)</t>
  </si>
  <si>
    <t>On-Premise Load Emissions (kg CO2e/hL)</t>
  </si>
  <si>
    <t xml:space="preserve">On-Premise Cooler/Refrigeration Load Data </t>
  </si>
  <si>
    <t>Cooling Emissions (g CO2e / unit) = ( [A*C*(E-F) + B*C*(E-F)]*[1+H*G] / I ) * J*K*L*M</t>
  </si>
  <si>
    <t>On-Premise Cooler/Refrigeration Emissions - Keg</t>
  </si>
  <si>
    <t>Mass of one keg, liquid only (kg)</t>
  </si>
  <si>
    <t>A - Est.</t>
  </si>
  <si>
    <t>Mass of primary packaging - keg shell (kg)</t>
  </si>
  <si>
    <t>B - Est.</t>
  </si>
  <si>
    <t>Specific heat capacity of stainless (kJ/K kg)</t>
  </si>
  <si>
    <t>D - Est</t>
  </si>
  <si>
    <t>Temperature of retail store (deg C)</t>
  </si>
  <si>
    <t>Temperature beer chilled to (deg C)</t>
  </si>
  <si>
    <t>F - Est.</t>
  </si>
  <si>
    <t>Emissions of grid connected electricity in US (g CO2/kwh)</t>
  </si>
  <si>
    <t>Percent of product cooled at retail</t>
  </si>
  <si>
    <t>Cooler/Refrig Emissions Emission Factor (g CO2e/keg)</t>
  </si>
  <si>
    <t>Cooler/Refrig Emissions Emission Factor (g CO2/keg)</t>
  </si>
  <si>
    <t>On-premise cooler/refrig emissions (g CO2e)</t>
  </si>
  <si>
    <t>Conversion Factor (g to kg)</t>
  </si>
  <si>
    <t>Supermarket Cooler/Refrig Emissions (kg CO2e)</t>
  </si>
  <si>
    <t>Supermarket Cooler/Refrig Emissions (kg CO2e/hL)</t>
  </si>
  <si>
    <t>Total On-Premise Emissions</t>
  </si>
  <si>
    <t>Total Supermarket Emissions (kg CO2e)</t>
  </si>
  <si>
    <t>Total Supermarket Emissions (kg CO2e/hL)</t>
  </si>
  <si>
    <t>Total Retail Emissions</t>
  </si>
  <si>
    <t>Total Emissions from Retail (kg CO2e)</t>
  </si>
  <si>
    <t>Total Emissions from Retail (kg CO2e/hL)</t>
  </si>
  <si>
    <t>Inputted data comes from BIER standard 2011</t>
  </si>
  <si>
    <t>Hotel Load Emissions:</t>
  </si>
  <si>
    <t>Equation comes from BIER Ver 2.0 January 2010 Report - page 46</t>
  </si>
  <si>
    <t>Cooler/Vendor Emissions - Product Life Cycle Assessment:</t>
  </si>
  <si>
    <t>Equation comes from BIER Ver 2.0 January 2010 Report - pages 48-49</t>
  </si>
  <si>
    <t>Emissions of grid connected electricity in US (kg CO2/kwh):</t>
  </si>
  <si>
    <t>From BIER Standard 2011 mentioned above</t>
  </si>
  <si>
    <t>Use Emissions - Consumer (Home Refrigerator)</t>
  </si>
  <si>
    <t>Yellow Highlights, Red Text</t>
  </si>
  <si>
    <t xml:space="preserve"> = Data updates optional. See color legend on Welcome tab for more info.  </t>
  </si>
  <si>
    <t>Review and update average end-use data, as needed. Values based on industry assumptions as noted at bottom of tab.</t>
  </si>
  <si>
    <r>
      <t xml:space="preserve">G = Number of days stored in the refrigerator </t>
    </r>
    <r>
      <rPr>
        <i/>
        <sz val="11"/>
        <color indexed="8"/>
        <rFont val="Calibri"/>
        <family val="2"/>
      </rPr>
      <t>(200-500 ml: 1 day; 500-1500 ml: 2 days)</t>
    </r>
  </si>
  <si>
    <t>H = Other loads Home multiplier (Door opening only, fixed at 0.3)</t>
  </si>
  <si>
    <r>
      <t xml:space="preserve">I = Coefficient of Performance (COP) of chiller cooler/vendors </t>
    </r>
    <r>
      <rPr>
        <i/>
        <sz val="11"/>
        <color indexed="8"/>
        <rFont val="Calibri"/>
        <family val="2"/>
      </rPr>
      <t>(Default = 1.5)</t>
    </r>
  </si>
  <si>
    <t>L = Percent product cooled at home</t>
  </si>
  <si>
    <t>Cooler/Refrigeration Emissions - Bottle and Can</t>
  </si>
  <si>
    <t>Emissions per bottle (kg CO2e)</t>
  </si>
  <si>
    <t>Bottles per standard pack (6-pack)</t>
  </si>
  <si>
    <t>Emissions per standard pack (kg CO2e)</t>
  </si>
  <si>
    <t>Refrigeration emissions from home use (kg CO2e)</t>
  </si>
  <si>
    <t>Refrigeration emissions from home use (kg CO2e/hL)</t>
  </si>
  <si>
    <t>Domestic Refrigeration Emissions - Product Life Cycle Assessment:</t>
  </si>
  <si>
    <t>Equation comes from BIER Ver 2.0 January 2010 Report - pages 49-50</t>
  </si>
  <si>
    <t>REFERENCE - Retail Inputs</t>
  </si>
  <si>
    <t>Note - there are a couple yellow fields below with required data input, along with several fields with red text/optional data input.</t>
  </si>
  <si>
    <t>Off-Premise Data (Liquor Store and Supermarket Emissions) - All Off-Premise emissions are bottles</t>
  </si>
  <si>
    <t>From BIER - NA - Draft 10-26-2011 Data</t>
  </si>
  <si>
    <t>Off-Premise Supermarket Hotel Load Emissions - Bottle</t>
  </si>
  <si>
    <t>kWh/yr - Avg yearly electricty cosumption of convenience store in US</t>
  </si>
  <si>
    <t>Average electricity consumption for supermarket store (kWh/sq/yr)</t>
  </si>
  <si>
    <t>Conversion factor (years to days)</t>
  </si>
  <si>
    <t>Average size of supermarket store (sq ft)</t>
  </si>
  <si>
    <t>Average electricity consumption for supermarket store (kWh/yr)</t>
  </si>
  <si>
    <t>Average size of convenience store in US (sq ft)</t>
  </si>
  <si>
    <t>Avg daily electricity consumption for supermarkets (kWh/day)</t>
  </si>
  <si>
    <t>Average size of retail refrigerator (sq ft)</t>
  </si>
  <si>
    <t>Capacity of avg size refrig for all products (6-packs)</t>
  </si>
  <si>
    <t>Refrigerators volume used by our products (% - guess)</t>
  </si>
  <si>
    <t>Average size of supermarket store in US (sq ft)</t>
  </si>
  <si>
    <t>Average size of supermarket refrigerator (sq ft)</t>
  </si>
  <si>
    <t>Store sq ft used by refrigeration (%)</t>
  </si>
  <si>
    <t>Refrigerators volume used by our products (%)</t>
  </si>
  <si>
    <t>Store sq ft used by our bottles (%)</t>
  </si>
  <si>
    <t>Percentage of store sq ft used by our bottles</t>
  </si>
  <si>
    <t>Number of our 6-packs in refrigerator</t>
  </si>
  <si>
    <t>6-pack</t>
    <phoneticPr fontId="44" type="noConversion"/>
  </si>
  <si>
    <t>Avg life cylce emissions of grid connected electricity in US (kg CO2e/kWh)</t>
  </si>
  <si>
    <t>Liquor Store Hotel Load Emissions Emission Factor - Bottle (kg CO2e/6-pack)</t>
  </si>
  <si>
    <t>Supermarket Load Emissions Emission Factor - Bottle (kg CO2e/6-pack)</t>
  </si>
  <si>
    <t>Liquor Store Hotel Load Emissions Emission Factor - Bottle (kg CO2e/bottle)</t>
  </si>
  <si>
    <t>Supermarket Load Emissions Emission Factor - Bottle (kg CO2e/bottle)</t>
  </si>
  <si>
    <t>Liquor Store and Supermarket Hotel Load (Electricity, building cooling) are the same. Because of this, all off-premise data will be grouped together.</t>
  </si>
  <si>
    <t>Temperature our beer chilled to (deg F) (4.44 deg C)</t>
  </si>
  <si>
    <t>F - BIER</t>
  </si>
  <si>
    <t>Percent of product cooled at retail (some product sold room temp - from displays, costco)</t>
  </si>
  <si>
    <t>L - BIER</t>
  </si>
  <si>
    <t>kWh/yr -- Avg yearly electricty cosumption of convenience store in US</t>
    <phoneticPr fontId="44" type="noConversion"/>
  </si>
  <si>
    <t>days in year</t>
    <phoneticPr fontId="44" type="noConversion"/>
  </si>
  <si>
    <t>Diameter of keg (in)</t>
  </si>
  <si>
    <t>Conversion (in to ft)</t>
  </si>
  <si>
    <t>Floor space used by one keg (sq ft)</t>
  </si>
  <si>
    <t>On-Premise keg inventory (3 total)</t>
  </si>
  <si>
    <t>Footprint of 3 kegs (sq ft)</t>
  </si>
  <si>
    <t>Percentage of our keg space used by one keg</t>
  </si>
  <si>
    <t>Liquor Store Hotel Load Emissions Emission Factor - Keg (kg CO2e/keg)</t>
  </si>
  <si>
    <t>On-Premise Cooler/Refrigeration Load Data</t>
  </si>
  <si>
    <t>D - Est.</t>
  </si>
  <si>
    <t>Temperature our beer chilled to (deg C)</t>
  </si>
  <si>
    <t xml:space="preserve">Specif heat of stainless: used number for Chromium </t>
  </si>
  <si>
    <t>http://www.engineeringtoolbox.com/specific-heat-metals-d_152.html</t>
  </si>
  <si>
    <t>Emission Calculations References: (Updated 12-23-11)</t>
  </si>
  <si>
    <t>Inputted data (quoted with BIER note) comes from BIER standard 2011</t>
  </si>
  <si>
    <t>REFERENCE - Less than 1% Contribution Items to Total GHG Emissions</t>
  </si>
  <si>
    <t>These items contribute less than 1% of total GHG emissions and are not individually calculated.</t>
  </si>
  <si>
    <t>"Less than 1%" items can be omitted from annual accounting, to the extent that they collectively comprise less than 5% total emissions.</t>
  </si>
  <si>
    <t>They are listed for reference to ensure that all potential contributors are identified.</t>
  </si>
  <si>
    <t>Commodity</t>
  </si>
  <si>
    <t>Notes</t>
  </si>
  <si>
    <t>Kegs</t>
  </si>
  <si>
    <t>Not tracked as they are typically reused indefinite number of times (unless taken out of circulation or damaged). Stems can be repaired</t>
  </si>
  <si>
    <t>Hops</t>
  </si>
  <si>
    <t>Typically small relative volume and small emissions factor</t>
  </si>
  <si>
    <t xml:space="preserve">Mobile refrigeration </t>
  </si>
  <si>
    <t>Emissions associated with reefer cooling units on transportation trucks are often not significant depending on business model</t>
  </si>
  <si>
    <t>Aluminum Can Ends</t>
  </si>
  <si>
    <t>Already tracked under aluminum section, total can weight used</t>
  </si>
  <si>
    <t>Crowns</t>
  </si>
  <si>
    <t>Small total weight and emissions factor</t>
  </si>
  <si>
    <t>Packaging - Label Adhesive</t>
  </si>
  <si>
    <t>Small volume and emissions factor</t>
  </si>
  <si>
    <t>Packaging - Case Glue</t>
  </si>
  <si>
    <t>Packaging - Shrink Wrap</t>
  </si>
  <si>
    <t>Brewing Ingredients - Misc</t>
  </si>
  <si>
    <t>Salts, minerals, enzymes, etc. are not of significant volume</t>
  </si>
  <si>
    <t>Biomass/biogenic</t>
  </si>
  <si>
    <t xml:space="preserve">Biomass data not included on GHG summary because it is biogenic, and exempt from GHG standards. Biogenic CO2 refers to the CO2 emissions from biogenic origin, which means it came from a living organism. </t>
  </si>
  <si>
    <t>REFERENCE - GHG Protocol Scope Descriptions</t>
  </si>
  <si>
    <t xml:space="preserve">Scope 1: Direct GHG emissions 
Direct GHG emissions occur from sources that are owned or controlled by the company, for example, emissions from combustion in owned or controlled boilers, furnaces, vehicles, etc.; emissions from chemical production in owned or controlled process equipment. 
Direct CO2 emissions from the combustion of biomass shall not be included in scope 1 but reported separately (see chapter 9). 
GHG emissions not covered by the Kyoto Protocol, e.g. CFCs, NOx, etc. shall not be included in scope 1 but may be reported separately (see chapter 9). </t>
  </si>
  <si>
    <t>Scope 1 Examples:</t>
  </si>
  <si>
    <r>
      <t>•</t>
    </r>
    <r>
      <rPr>
        <sz val="7"/>
        <color theme="1"/>
        <rFont val="Times New Roman"/>
        <family val="1"/>
      </rPr>
      <t xml:space="preserve">         </t>
    </r>
    <r>
      <rPr>
        <sz val="11"/>
        <color theme="1"/>
        <rFont val="Calibri"/>
        <family val="2"/>
        <scheme val="minor"/>
      </rPr>
      <t>Generation of electricity, heat, or steam. These emissions result from combustion of fuels in stationary sources, e.g., boilers, furnaces, turbines</t>
    </r>
  </si>
  <si>
    <r>
      <t>•</t>
    </r>
    <r>
      <rPr>
        <sz val="7"/>
        <color theme="1"/>
        <rFont val="Times New Roman"/>
        <family val="1"/>
      </rPr>
      <t xml:space="preserve">         </t>
    </r>
    <r>
      <rPr>
        <sz val="11"/>
        <color theme="1"/>
        <rFont val="Calibri"/>
        <family val="2"/>
        <scheme val="minor"/>
      </rPr>
      <t>Physical or chemical processing. Most of these emissions result from manufacture or processing of chemicals and materials, e.g., cement, aluminum, adipic acid, ammonia manufacture, and waste processing</t>
    </r>
  </si>
  <si>
    <r>
      <t>•</t>
    </r>
    <r>
      <rPr>
        <sz val="7"/>
        <color theme="1"/>
        <rFont val="Times New Roman"/>
        <family val="1"/>
      </rPr>
      <t xml:space="preserve">         </t>
    </r>
    <r>
      <rPr>
        <sz val="11"/>
        <color theme="1"/>
        <rFont val="Calibri"/>
        <family val="2"/>
        <scheme val="minor"/>
      </rPr>
      <t>Transportation of materials, products, waste, and employees. These emissions result from the combustion of fuels in company owned/controlled mobile combustion sources (e.g., trucks, trains, ships, airplanes, buses, and cars)</t>
    </r>
  </si>
  <si>
    <r>
      <t>•</t>
    </r>
    <r>
      <rPr>
        <sz val="7"/>
        <color theme="1"/>
        <rFont val="Times New Roman"/>
        <family val="1"/>
      </rPr>
      <t xml:space="preserve">         </t>
    </r>
    <r>
      <rPr>
        <sz val="11"/>
        <color theme="1"/>
        <rFont val="Calibri"/>
        <family val="2"/>
        <scheme val="minor"/>
      </rPr>
      <t>Fugitive emissions. These emissions result from intentional or unintentional releases, e.g., equipment leaks from joints, seals, packing, and gaskets; methane emissions from coal mines and venting; hydrofluorocarbon (HFC) emissions during the use of refrigeration and air conditioning equipment; and methane leakages from gas transport</t>
    </r>
  </si>
  <si>
    <t xml:space="preserve">Scope 2: Electricity indirect GHG emissions 
Scope 2 accounts for GHG emissions from the generation of purchased electricity consumed by the company. Purchased electricity is defined as electricity that is purchased or otherwise brought into the organizational boundary of the company. Scope 2 emissions physically occur at the facility (power plant) where electricity is generated. </t>
  </si>
  <si>
    <r>
      <rPr>
        <b/>
        <u/>
        <sz val="11"/>
        <color theme="1"/>
        <rFont val="Calibri"/>
        <family val="2"/>
        <scheme val="minor"/>
      </rPr>
      <t xml:space="preserve">Scope 3: Other indirect GHG emissions </t>
    </r>
    <r>
      <rPr>
        <sz val="11"/>
        <color theme="1"/>
        <rFont val="Calibri"/>
        <family val="2"/>
        <scheme val="minor"/>
      </rPr>
      <t xml:space="preserve">
Scope 3 is an optional reporting category that allows for the treatment of all other indirect emissions. Scope 3 emissions are a consequence of the activities of the company, but occur from sources not owned or controlled by the company. Some examples of scope 3 activities are extraction and production of purchased materials; transportation of purchased fuels; and use of sold products and services.</t>
    </r>
  </si>
  <si>
    <t xml:space="preserve">Scope 3: Other indirect GHG emissions </t>
  </si>
  <si>
    <t>Scope 3 is optional, but it provides an opportunity to be innovative in GHG management. Companies may want to focus on accounting for and reporting those activities that are relevant to their business and goals, and for which they have reliable information. Since companies have discretion over which categories they choose to report, scope 3 may not lend itself well to comparisons across companies. This section provides an indicative list of scope 3 categories and includes case studies on some of the categories.</t>
  </si>
  <si>
    <t>Some of these activities will be included under scope 1 if the pertinent emission sources are owned or controlled by the company (e.g., if the transportation of products is done in vehicles owned or controlled by the company). To determine if an activity falls within scope 1 or scope 3, the company should refer to the selected consolidation approach (equity or control) used in setting its organizational boundaries.</t>
  </si>
  <si>
    <r>
      <t>•</t>
    </r>
    <r>
      <rPr>
        <sz val="7"/>
        <color theme="1"/>
        <rFont val="Times New Roman"/>
        <family val="1"/>
      </rPr>
      <t xml:space="preserve">         </t>
    </r>
    <r>
      <rPr>
        <sz val="11"/>
        <color theme="1"/>
        <rFont val="Calibri"/>
        <family val="2"/>
        <scheme val="minor"/>
      </rPr>
      <t>Extraction and production of purchased materials and fuels</t>
    </r>
  </si>
  <si>
    <r>
      <t>•</t>
    </r>
    <r>
      <rPr>
        <sz val="7"/>
        <color theme="1"/>
        <rFont val="Times New Roman"/>
        <family val="1"/>
      </rPr>
      <t xml:space="preserve">         </t>
    </r>
    <r>
      <rPr>
        <sz val="11"/>
        <color theme="1"/>
        <rFont val="Calibri"/>
        <family val="2"/>
        <scheme val="minor"/>
      </rPr>
      <t>Transport-related activities:</t>
    </r>
  </si>
  <si>
    <r>
      <t>o</t>
    </r>
    <r>
      <rPr>
        <sz val="7"/>
        <color theme="1"/>
        <rFont val="Times New Roman"/>
        <family val="1"/>
      </rPr>
      <t xml:space="preserve">   </t>
    </r>
    <r>
      <rPr>
        <sz val="11"/>
        <color theme="1"/>
        <rFont val="Calibri"/>
        <family val="2"/>
        <scheme val="minor"/>
      </rPr>
      <t>Transportation of purchased materials or goods</t>
    </r>
  </si>
  <si>
    <r>
      <t>o</t>
    </r>
    <r>
      <rPr>
        <sz val="7"/>
        <color theme="1"/>
        <rFont val="Times New Roman"/>
        <family val="1"/>
      </rPr>
      <t xml:space="preserve">   </t>
    </r>
    <r>
      <rPr>
        <sz val="11"/>
        <color theme="1"/>
        <rFont val="Calibri"/>
        <family val="2"/>
        <scheme val="minor"/>
      </rPr>
      <t>Transportation of purchased fuels</t>
    </r>
  </si>
  <si>
    <r>
      <t>o</t>
    </r>
    <r>
      <rPr>
        <sz val="7"/>
        <color theme="1"/>
        <rFont val="Times New Roman"/>
        <family val="1"/>
      </rPr>
      <t xml:space="preserve">   </t>
    </r>
    <r>
      <rPr>
        <sz val="11"/>
        <color theme="1"/>
        <rFont val="Calibri"/>
        <family val="2"/>
        <scheme val="minor"/>
      </rPr>
      <t>Employee business travel</t>
    </r>
  </si>
  <si>
    <r>
      <t>o</t>
    </r>
    <r>
      <rPr>
        <sz val="7"/>
        <color theme="1"/>
        <rFont val="Times New Roman"/>
        <family val="1"/>
      </rPr>
      <t xml:space="preserve">   </t>
    </r>
    <r>
      <rPr>
        <sz val="11"/>
        <color theme="1"/>
        <rFont val="Calibri"/>
        <family val="2"/>
        <scheme val="minor"/>
      </rPr>
      <t>Employees commuting to and from work</t>
    </r>
  </si>
  <si>
    <r>
      <t>o</t>
    </r>
    <r>
      <rPr>
        <sz val="7"/>
        <color theme="1"/>
        <rFont val="Times New Roman"/>
        <family val="1"/>
      </rPr>
      <t xml:space="preserve">   </t>
    </r>
    <r>
      <rPr>
        <sz val="11"/>
        <color theme="1"/>
        <rFont val="Calibri"/>
        <family val="2"/>
        <scheme val="minor"/>
      </rPr>
      <t>Transportation of sold products</t>
    </r>
  </si>
  <si>
    <r>
      <t>o</t>
    </r>
    <r>
      <rPr>
        <sz val="7"/>
        <color theme="1"/>
        <rFont val="Times New Roman"/>
        <family val="1"/>
      </rPr>
      <t xml:space="preserve">   </t>
    </r>
    <r>
      <rPr>
        <sz val="11"/>
        <color theme="1"/>
        <rFont val="Calibri"/>
        <family val="2"/>
        <scheme val="minor"/>
      </rPr>
      <t>Transportation of waste</t>
    </r>
  </si>
  <si>
    <r>
      <t>•</t>
    </r>
    <r>
      <rPr>
        <sz val="7"/>
        <color theme="1"/>
        <rFont val="Times New Roman"/>
        <family val="1"/>
      </rPr>
      <t xml:space="preserve">         </t>
    </r>
    <r>
      <rPr>
        <sz val="11"/>
        <color theme="1"/>
        <rFont val="Calibri"/>
        <family val="2"/>
        <scheme val="minor"/>
      </rPr>
      <t>Electricity-related activities not included in scope 2 (see Appendix A)</t>
    </r>
  </si>
  <si>
    <r>
      <t>o</t>
    </r>
    <r>
      <rPr>
        <sz val="7"/>
        <color theme="1"/>
        <rFont val="Times New Roman"/>
        <family val="1"/>
      </rPr>
      <t xml:space="preserve">   </t>
    </r>
    <r>
      <rPr>
        <sz val="11"/>
        <color theme="1"/>
        <rFont val="Calibri"/>
        <family val="2"/>
        <scheme val="minor"/>
      </rPr>
      <t>Extraction, production, and transportation of fuels consumed in the generation of electricity (either purchased or own generated by the reporting company)</t>
    </r>
  </si>
  <si>
    <r>
      <t>o</t>
    </r>
    <r>
      <rPr>
        <sz val="7"/>
        <color theme="1"/>
        <rFont val="Times New Roman"/>
        <family val="1"/>
      </rPr>
      <t xml:space="preserve">   </t>
    </r>
    <r>
      <rPr>
        <sz val="11"/>
        <color theme="1"/>
        <rFont val="Calibri"/>
        <family val="2"/>
        <scheme val="minor"/>
      </rPr>
      <t>Purchase of electricity that is sold to an end user (reported by utility company)</t>
    </r>
  </si>
  <si>
    <r>
      <t>o</t>
    </r>
    <r>
      <rPr>
        <sz val="7"/>
        <color theme="1"/>
        <rFont val="Times New Roman"/>
        <family val="1"/>
      </rPr>
      <t xml:space="preserve">   </t>
    </r>
    <r>
      <rPr>
        <sz val="11"/>
        <color theme="1"/>
        <rFont val="Calibri"/>
        <family val="2"/>
        <scheme val="minor"/>
      </rPr>
      <t>Generation of electricity that is consumed in a T&amp;D system (reported by end-user)</t>
    </r>
  </si>
  <si>
    <r>
      <t>•</t>
    </r>
    <r>
      <rPr>
        <sz val="7"/>
        <color theme="1"/>
        <rFont val="Times New Roman"/>
        <family val="1"/>
      </rPr>
      <t xml:space="preserve">         </t>
    </r>
    <r>
      <rPr>
        <sz val="11"/>
        <color theme="1"/>
        <rFont val="Calibri"/>
        <family val="2"/>
        <scheme val="minor"/>
      </rPr>
      <t>Leased assets, franchises, and outsourced activities— emissions from such contractual arrangements are only classified as scope 3 if the selected consolidation approach (equity or control) does not apply to them. Clarification on the classification of leased assets should be obtained from the company accountant (see section on leases below).</t>
    </r>
  </si>
  <si>
    <r>
      <t>•</t>
    </r>
    <r>
      <rPr>
        <sz val="7"/>
        <color theme="1"/>
        <rFont val="Times New Roman"/>
        <family val="1"/>
      </rPr>
      <t xml:space="preserve">         </t>
    </r>
    <r>
      <rPr>
        <sz val="11"/>
        <color theme="1"/>
        <rFont val="Calibri"/>
        <family val="2"/>
        <scheme val="minor"/>
      </rPr>
      <t>Use of sold products and services</t>
    </r>
  </si>
  <si>
    <r>
      <t>o</t>
    </r>
    <r>
      <rPr>
        <sz val="7"/>
        <color theme="1"/>
        <rFont val="Times New Roman"/>
        <family val="1"/>
      </rPr>
      <t xml:space="preserve">   </t>
    </r>
    <r>
      <rPr>
        <sz val="11"/>
        <color theme="1"/>
        <rFont val="Calibri"/>
        <family val="2"/>
        <scheme val="minor"/>
      </rPr>
      <t>Waste disposal</t>
    </r>
  </si>
  <si>
    <r>
      <t>o</t>
    </r>
    <r>
      <rPr>
        <sz val="7"/>
        <color theme="1"/>
        <rFont val="Times New Roman"/>
        <family val="1"/>
      </rPr>
      <t xml:space="preserve">   </t>
    </r>
    <r>
      <rPr>
        <sz val="11"/>
        <color theme="1"/>
        <rFont val="Calibri"/>
        <family val="2"/>
        <scheme val="minor"/>
      </rPr>
      <t>Disposal of waste generated in operations</t>
    </r>
  </si>
  <si>
    <r>
      <t>o</t>
    </r>
    <r>
      <rPr>
        <sz val="7"/>
        <color theme="1"/>
        <rFont val="Times New Roman"/>
        <family val="1"/>
      </rPr>
      <t xml:space="preserve">   </t>
    </r>
    <r>
      <rPr>
        <sz val="11"/>
        <color theme="1"/>
        <rFont val="Calibri"/>
        <family val="2"/>
        <scheme val="minor"/>
      </rPr>
      <t>Disposal of waste generated in the production of purchased materials and fuels</t>
    </r>
  </si>
  <si>
    <r>
      <t>o</t>
    </r>
    <r>
      <rPr>
        <sz val="7"/>
        <color theme="1"/>
        <rFont val="Times New Roman"/>
        <family val="1"/>
      </rPr>
      <t xml:space="preserve">   </t>
    </r>
    <r>
      <rPr>
        <sz val="11"/>
        <color theme="1"/>
        <rFont val="Calibri"/>
        <family val="2"/>
        <scheme val="minor"/>
      </rPr>
      <t>Disposal of sold products at the end of their life</t>
    </r>
  </si>
  <si>
    <t xml:space="preserve">Determine which scope 3 items are relevant and should be tracked.  </t>
  </si>
  <si>
    <r>
      <t>•</t>
    </r>
    <r>
      <rPr>
        <sz val="7"/>
        <color theme="1"/>
        <rFont val="Times New Roman"/>
        <family val="1"/>
      </rPr>
      <t xml:space="preserve">         </t>
    </r>
    <r>
      <rPr>
        <sz val="11"/>
        <color theme="1"/>
        <rFont val="Calibri"/>
        <family val="2"/>
        <scheme val="minor"/>
      </rPr>
      <t>Track if:</t>
    </r>
  </si>
  <si>
    <r>
      <t>o</t>
    </r>
    <r>
      <rPr>
        <sz val="7"/>
        <color theme="1"/>
        <rFont val="Times New Roman"/>
        <family val="1"/>
      </rPr>
      <t xml:space="preserve">   </t>
    </r>
    <r>
      <rPr>
        <sz val="11"/>
        <color theme="1"/>
        <rFont val="Calibri"/>
        <family val="2"/>
        <scheme val="minor"/>
      </rPr>
      <t>There are potential emissions reductions that could be undertaken or influenced by the company</t>
    </r>
  </si>
  <si>
    <r>
      <t>o</t>
    </r>
    <r>
      <rPr>
        <sz val="7"/>
        <color theme="1"/>
        <rFont val="Times New Roman"/>
        <family val="1"/>
      </rPr>
      <t xml:space="preserve">   </t>
    </r>
    <r>
      <rPr>
        <sz val="11"/>
        <color theme="1"/>
        <rFont val="Calibri"/>
        <family val="2"/>
        <scheme val="minor"/>
      </rPr>
      <t>They are large (or believed to be large) relative to the company’s scope 1 and scope 2 emissions</t>
    </r>
  </si>
  <si>
    <t>Version</t>
  </si>
  <si>
    <t>Released</t>
  </si>
  <si>
    <t>Initial template created by New Belgium Brewing and released for craft brewers on DrinkSustainably.com</t>
  </si>
  <si>
    <t>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</si>
</sst>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0.000"/>
    <numFmt numFmtId="169" formatCode="0.000000"/>
    <numFmt numFmtId="170" formatCode="0.00000000"/>
    <numFmt numFmtId="171" formatCode="#,##0.000"/>
    <numFmt numFmtId="172" formatCode="&quot;$&quot;#,##0.00"/>
    <numFmt numFmtId="173" formatCode="#,##0.000000_);\(#,##0.000000\)"/>
    <numFmt numFmtId="174" formatCode="#,##0.000000"/>
    <numFmt numFmtId="175" formatCode="&quot;$&quot;#,##0.0000"/>
    <numFmt numFmtId="176" formatCode="&quot;$&quot;#,##0.00;[Red]&quot;$&quot;#,##0.00"/>
    <numFmt numFmtId="177" formatCode="_(* #,##0.0_);_(* \(#,##0.0\);_(* &quot;-&quot;??_);_(@_)"/>
    <numFmt numFmtId="178" formatCode="#,##0.0"/>
    <numFmt numFmtId="179" formatCode="0.0000%"/>
    <numFmt numFmtId="180" formatCode="_(* #,##0_);_(* \(#,##0\);_(* &quot;-&quot;??_);_(@_)"/>
    <numFmt numFmtId="181" formatCode="&quot;$&quot;#,##0.000"/>
    <numFmt numFmtId="182" formatCode="_(* #,##0.000_);_(* \(#,##0.000\);_(* &quot;-&quot;??_);_(@_)"/>
    <numFmt numFmtId="183" formatCode="0.00000"/>
    <numFmt numFmtId="184" formatCode="0.000%"/>
    <numFmt numFmtId="185" formatCode="#,###,##0.00;\(#,###,##0.00\)"/>
    <numFmt numFmtId="186" formatCode="&quot;$&quot;#,###,##0.00;\(&quot;$&quot;#,###,##0.00\)"/>
    <numFmt numFmtId="187" formatCode="#,##0.00%;\(#,##0.00%\)"/>
    <numFmt numFmtId="188" formatCode="#,##0.0000_);\(#,##0.0000\)"/>
    <numFmt numFmtId="189" formatCode="#,##0.000_);\(#,##0.000\)"/>
  </numFmts>
  <fonts count="149" x14ac:knownFonts="1">
    <font>
      <sz val="11"/>
      <color theme="1"/>
      <name val="Calibri"/>
      <family val="2"/>
      <scheme val="minor"/>
    </font>
    <font>
      <sz val="11"/>
      <color theme="1"/>
      <name val="Calibri"/>
      <family val="2"/>
      <scheme val="minor"/>
    </font>
    <font>
      <sz val="10"/>
      <name val="Arial"/>
      <family val="2"/>
    </font>
    <font>
      <sz val="10"/>
      <name val="Verdana"/>
      <family val="2"/>
    </font>
    <font>
      <b/>
      <sz val="10"/>
      <name val="Arial"/>
      <family val="2"/>
    </font>
    <font>
      <b/>
      <sz val="10"/>
      <name val="Verdana"/>
      <family val="2"/>
    </font>
    <font>
      <sz val="10"/>
      <color indexed="10"/>
      <name val="Arial"/>
      <family val="2"/>
    </font>
    <font>
      <b/>
      <sz val="10"/>
      <color indexed="10"/>
      <name val="Arial"/>
      <family val="2"/>
    </font>
    <font>
      <sz val="10"/>
      <color theme="1"/>
      <name val="Calibri"/>
      <family val="2"/>
      <scheme val="minor"/>
    </font>
    <font>
      <b/>
      <sz val="10"/>
      <color theme="1"/>
      <name val="Calibri"/>
      <family val="2"/>
      <scheme val="minor"/>
    </font>
    <font>
      <sz val="10"/>
      <color indexed="8"/>
      <name val="Arial"/>
      <family val="2"/>
    </font>
    <font>
      <sz val="10"/>
      <color rgb="FFFF0000"/>
      <name val="Calibri"/>
      <family val="2"/>
      <scheme val="minor"/>
    </font>
    <font>
      <b/>
      <sz val="10"/>
      <color rgb="FFFF0000"/>
      <name val="Calibri"/>
      <family val="2"/>
      <scheme val="minor"/>
    </font>
    <font>
      <i/>
      <sz val="10"/>
      <name val="Arial"/>
      <family val="2"/>
    </font>
    <font>
      <b/>
      <sz val="11"/>
      <name val="Arial"/>
      <family val="2"/>
    </font>
    <font>
      <b/>
      <i/>
      <sz val="10"/>
      <name val="Arial"/>
      <family val="2"/>
    </font>
    <font>
      <sz val="8"/>
      <name val="Arial"/>
      <family val="2"/>
    </font>
    <font>
      <b/>
      <sz val="12"/>
      <name val="Arial"/>
      <family val="2"/>
    </font>
    <font>
      <sz val="11"/>
      <name val="Calibri"/>
      <family val="2"/>
      <scheme val="minor"/>
    </font>
    <font>
      <b/>
      <sz val="14"/>
      <name val="Arial"/>
      <family val="2"/>
    </font>
    <font>
      <b/>
      <sz val="10"/>
      <color indexed="11"/>
      <name val="Arial"/>
      <family val="2"/>
    </font>
    <font>
      <b/>
      <sz val="11"/>
      <color theme="1"/>
      <name val="Calibri"/>
      <family val="2"/>
      <scheme val="minor"/>
    </font>
    <font>
      <b/>
      <sz val="11"/>
      <color indexed="8"/>
      <name val="Arial"/>
      <family val="2"/>
    </font>
    <font>
      <b/>
      <sz val="10"/>
      <color indexed="8"/>
      <name val="Arial"/>
      <family val="2"/>
    </font>
    <font>
      <u/>
      <sz val="11"/>
      <color indexed="12"/>
      <name val="Calibri"/>
      <family val="2"/>
    </font>
    <font>
      <b/>
      <sz val="10"/>
      <name val="Calibri"/>
      <family val="2"/>
      <scheme val="minor"/>
    </font>
    <font>
      <sz val="14"/>
      <color theme="1"/>
      <name val="Calibri"/>
      <family val="2"/>
      <scheme val="minor"/>
    </font>
    <font>
      <sz val="16"/>
      <color theme="1"/>
      <name val="Calibri"/>
      <family val="2"/>
      <scheme val="minor"/>
    </font>
    <font>
      <b/>
      <sz val="14"/>
      <color indexed="8"/>
      <name val="Arial"/>
      <family val="2"/>
    </font>
    <font>
      <sz val="11"/>
      <color rgb="FFFF0000"/>
      <name val="Calibri"/>
      <family val="2"/>
      <scheme val="minor"/>
    </font>
    <font>
      <b/>
      <sz val="12"/>
      <color indexed="8"/>
      <name val="Arial"/>
      <family val="2"/>
    </font>
    <font>
      <b/>
      <sz val="10"/>
      <name val="Helv"/>
    </font>
    <font>
      <b/>
      <i/>
      <sz val="11"/>
      <color theme="1"/>
      <name val="Calibri"/>
      <family val="2"/>
      <scheme val="minor"/>
    </font>
    <font>
      <b/>
      <sz val="10"/>
      <name val="Calibri"/>
      <family val="2"/>
    </font>
    <font>
      <sz val="11"/>
      <name val="Arial"/>
      <family val="2"/>
    </font>
    <font>
      <b/>
      <sz val="11"/>
      <name val="Calibri"/>
      <family val="2"/>
      <scheme val="minor"/>
    </font>
    <font>
      <sz val="10"/>
      <color indexed="9"/>
      <name val="Arial"/>
      <family val="2"/>
    </font>
    <font>
      <b/>
      <i/>
      <sz val="10"/>
      <color indexed="8"/>
      <name val="Arial"/>
      <family val="2"/>
    </font>
    <font>
      <u/>
      <sz val="10"/>
      <color indexed="8"/>
      <name val="Arial"/>
      <family val="2"/>
    </font>
    <font>
      <sz val="11"/>
      <color rgb="FFFFFF00"/>
      <name val="Calibri"/>
      <family val="2"/>
      <scheme val="minor"/>
    </font>
    <font>
      <b/>
      <i/>
      <sz val="11"/>
      <name val="Arial"/>
      <family val="2"/>
    </font>
    <font>
      <sz val="11"/>
      <color theme="0"/>
      <name val="Calibri"/>
      <family val="2"/>
      <scheme val="minor"/>
    </font>
    <font>
      <b/>
      <i/>
      <sz val="10"/>
      <color indexed="9"/>
      <name val="Arial"/>
      <family val="2"/>
    </font>
    <font>
      <sz val="10"/>
      <color theme="6" tint="0.39997558519241921"/>
      <name val="Arial"/>
      <family val="2"/>
    </font>
    <font>
      <sz val="8"/>
      <name val="Verdana"/>
      <family val="2"/>
    </font>
    <font>
      <sz val="11"/>
      <color indexed="8"/>
      <name val="Calibri"/>
      <family val="2"/>
    </font>
    <font>
      <b/>
      <sz val="11"/>
      <color indexed="8"/>
      <name val="Calibri"/>
      <family val="2"/>
    </font>
    <font>
      <sz val="12"/>
      <color indexed="8"/>
      <name val="Calibri"/>
      <family val="2"/>
    </font>
    <font>
      <sz val="10"/>
      <color theme="1"/>
      <name val="Arial"/>
      <family val="2"/>
    </font>
    <font>
      <b/>
      <i/>
      <sz val="9"/>
      <color indexed="9"/>
      <name val="Arial"/>
      <family val="2"/>
    </font>
    <font>
      <b/>
      <sz val="16"/>
      <color indexed="8"/>
      <name val="Arial"/>
      <family val="2"/>
    </font>
    <font>
      <b/>
      <sz val="16"/>
      <color theme="1"/>
      <name val="Arial"/>
      <family val="2"/>
    </font>
    <font>
      <i/>
      <sz val="11"/>
      <color theme="1"/>
      <name val="Calibri"/>
      <family val="2"/>
      <scheme val="minor"/>
    </font>
    <font>
      <b/>
      <sz val="11"/>
      <color indexed="8"/>
      <name val="Calibri"/>
      <family val="2"/>
      <scheme val="minor"/>
    </font>
    <font>
      <b/>
      <sz val="16"/>
      <name val="Arial"/>
      <family val="2"/>
    </font>
    <font>
      <i/>
      <sz val="10"/>
      <color indexed="8"/>
      <name val="Arial"/>
      <family val="2"/>
    </font>
    <font>
      <sz val="11"/>
      <color indexed="12"/>
      <name val="Calibri"/>
      <family val="2"/>
    </font>
    <font>
      <sz val="11"/>
      <color indexed="8"/>
      <name val="Calibri"/>
      <family val="2"/>
      <scheme val="minor"/>
    </font>
    <font>
      <u/>
      <sz val="11"/>
      <color indexed="12"/>
      <name val="Calibri"/>
      <family val="2"/>
      <scheme val="minor"/>
    </font>
    <font>
      <sz val="11"/>
      <color indexed="12"/>
      <name val="Calibri"/>
      <family val="2"/>
      <scheme val="minor"/>
    </font>
    <font>
      <i/>
      <sz val="11"/>
      <name val="Calibri"/>
      <family val="2"/>
      <scheme val="minor"/>
    </font>
    <font>
      <b/>
      <i/>
      <sz val="11"/>
      <color indexed="9"/>
      <name val="Arial"/>
      <family val="2"/>
    </font>
    <font>
      <b/>
      <sz val="10"/>
      <color indexed="8"/>
      <name val="Calibri"/>
      <family val="2"/>
      <scheme val="minor"/>
    </font>
    <font>
      <sz val="10"/>
      <color indexed="8"/>
      <name val="Calibri"/>
      <family val="2"/>
      <scheme val="minor"/>
    </font>
    <font>
      <sz val="8"/>
      <name val="Calibri"/>
      <family val="2"/>
      <scheme val="minor"/>
    </font>
    <font>
      <sz val="10"/>
      <name val="Calibri"/>
      <family val="2"/>
      <scheme val="minor"/>
    </font>
    <font>
      <sz val="11"/>
      <name val="Calibri"/>
      <family val="2"/>
    </font>
    <font>
      <b/>
      <sz val="11"/>
      <color rgb="FFFF0000"/>
      <name val="Calibri"/>
      <family val="2"/>
      <scheme val="minor"/>
    </font>
    <font>
      <b/>
      <sz val="11"/>
      <name val="Calibri"/>
      <family val="2"/>
    </font>
    <font>
      <b/>
      <sz val="10"/>
      <color rgb="FFFF0000"/>
      <name val="Arial"/>
      <family val="2"/>
    </font>
    <font>
      <b/>
      <sz val="10"/>
      <color theme="1"/>
      <name val="Arial"/>
      <family val="2"/>
    </font>
    <font>
      <b/>
      <sz val="11"/>
      <color rgb="FF000000"/>
      <name val="Calibri"/>
      <family val="2"/>
      <scheme val="minor"/>
    </font>
    <font>
      <b/>
      <sz val="11"/>
      <color theme="0"/>
      <name val="Calibri"/>
      <family val="2"/>
      <scheme val="minor"/>
    </font>
    <font>
      <b/>
      <i/>
      <sz val="11"/>
      <name val="Calibri"/>
      <family val="2"/>
      <scheme val="minor"/>
    </font>
    <font>
      <b/>
      <sz val="11"/>
      <color indexed="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font>
    <font>
      <sz val="11"/>
      <color rgb="FF000000"/>
      <name val="Calibri"/>
      <family val="2"/>
      <scheme val="minor"/>
    </font>
    <font>
      <i/>
      <sz val="9"/>
      <color indexed="8"/>
      <name val="Arial"/>
      <family val="2"/>
    </font>
    <font>
      <i/>
      <sz val="11"/>
      <color indexed="8"/>
      <name val="Calibri"/>
      <family val="2"/>
    </font>
    <font>
      <i/>
      <sz val="9"/>
      <name val="Arial"/>
      <family val="2"/>
    </font>
    <font>
      <u/>
      <sz val="11"/>
      <color theme="10"/>
      <name val="Calibri"/>
      <family val="2"/>
      <scheme val="minor"/>
    </font>
    <font>
      <b/>
      <sz val="10"/>
      <color indexed="12"/>
      <name val="Arial"/>
      <family val="2"/>
    </font>
    <font>
      <sz val="10"/>
      <color indexed="0"/>
      <name val="Arial"/>
      <family val="2"/>
    </font>
    <font>
      <b/>
      <sz val="10"/>
      <color indexed="4"/>
      <name val="Arial"/>
      <family val="2"/>
    </font>
    <font>
      <sz val="10"/>
      <color indexed="4"/>
      <name val="Tahoma"/>
      <family val="2"/>
    </font>
    <font>
      <sz val="10"/>
      <color indexed="4"/>
      <name val="Times New Roman"/>
      <family val="1"/>
    </font>
    <font>
      <sz val="10"/>
      <name val="Arial"/>
      <family val="2"/>
    </font>
    <font>
      <sz val="11"/>
      <color theme="1"/>
      <name val="Calibri"/>
      <family val="2"/>
    </font>
    <font>
      <b/>
      <sz val="11"/>
      <color indexed="9"/>
      <name val="Arial"/>
      <family val="2"/>
    </font>
    <font>
      <b/>
      <u/>
      <sz val="11"/>
      <color theme="1"/>
      <name val="Calibri"/>
      <family val="2"/>
      <scheme val="minor"/>
    </font>
    <font>
      <sz val="7"/>
      <color theme="1"/>
      <name val="Times New Roman"/>
      <family val="1"/>
    </font>
    <font>
      <sz val="11"/>
      <color theme="1"/>
      <name val="Courier New"/>
      <family val="3"/>
    </font>
    <font>
      <b/>
      <sz val="16"/>
      <color theme="0"/>
      <name val="Arial"/>
      <family val="2"/>
    </font>
    <font>
      <sz val="10"/>
      <color rgb="FF000000"/>
      <name val="Tahoma"/>
      <family val="2"/>
    </font>
    <font>
      <b/>
      <sz val="10"/>
      <color rgb="FF000000"/>
      <name val="Tahoma"/>
      <family val="2"/>
    </font>
    <font>
      <i/>
      <sz val="14"/>
      <color theme="1"/>
      <name val="Calibri"/>
      <family val="2"/>
      <scheme val="minor"/>
    </font>
    <font>
      <b/>
      <sz val="14"/>
      <color theme="1"/>
      <name val="Calibri"/>
      <family val="2"/>
      <scheme val="minor"/>
    </font>
    <font>
      <b/>
      <sz val="12"/>
      <color rgb="FFC00000"/>
      <name val="Calibri"/>
      <family val="2"/>
      <scheme val="minor"/>
    </font>
    <font>
      <b/>
      <i/>
      <sz val="10"/>
      <color rgb="FFFFFF00"/>
      <name val="Arial"/>
      <family val="2"/>
    </font>
    <font>
      <i/>
      <sz val="11"/>
      <color rgb="FFC00000"/>
      <name val="Calibri"/>
      <family val="2"/>
      <scheme val="minor"/>
    </font>
    <font>
      <sz val="20"/>
      <color theme="1"/>
      <name val="Calibri"/>
      <family val="2"/>
      <scheme val="minor"/>
    </font>
    <font>
      <b/>
      <sz val="14"/>
      <color rgb="FFC00000"/>
      <name val="Calibri"/>
      <family val="2"/>
      <scheme val="minor"/>
    </font>
    <font>
      <b/>
      <sz val="22"/>
      <color theme="1"/>
      <name val="Calibri"/>
      <family val="2"/>
      <scheme val="minor"/>
    </font>
    <font>
      <b/>
      <sz val="16"/>
      <color theme="0"/>
      <name val="Calibri"/>
      <family val="2"/>
      <scheme val="minor"/>
    </font>
    <font>
      <b/>
      <sz val="14"/>
      <color theme="0"/>
      <name val="Calibri"/>
      <family val="2"/>
      <scheme val="minor"/>
    </font>
    <font>
      <b/>
      <sz val="16"/>
      <name val="Calibri"/>
      <family val="2"/>
      <scheme val="minor"/>
    </font>
    <font>
      <b/>
      <sz val="14"/>
      <name val="Calibri"/>
      <family val="2"/>
      <scheme val="minor"/>
    </font>
    <font>
      <b/>
      <sz val="18"/>
      <color theme="1"/>
      <name val="Century Gothic"/>
      <family val="2"/>
    </font>
    <font>
      <sz val="11"/>
      <color theme="1"/>
      <name val="Century Gothic"/>
      <family val="2"/>
    </font>
    <font>
      <sz val="14"/>
      <color theme="1"/>
      <name val="Century Gothic"/>
      <family val="2"/>
    </font>
    <font>
      <b/>
      <sz val="22"/>
      <color theme="1"/>
      <name val="Century Gothic"/>
      <family val="2"/>
    </font>
    <font>
      <sz val="11"/>
      <color rgb="FFFF3300"/>
      <name val="Calibri"/>
      <family val="2"/>
      <scheme val="minor"/>
    </font>
    <font>
      <b/>
      <sz val="16"/>
      <color indexed="8"/>
      <name val="Calibri"/>
      <family val="2"/>
      <scheme val="minor"/>
    </font>
    <font>
      <b/>
      <sz val="14"/>
      <color rgb="FFC00000"/>
      <name val="Calibri"/>
      <family val="2"/>
    </font>
    <font>
      <b/>
      <sz val="14"/>
      <color indexed="9"/>
      <name val="Calibri"/>
      <family val="2"/>
      <scheme val="minor"/>
    </font>
    <font>
      <sz val="14"/>
      <name val="Calibri"/>
      <family val="2"/>
      <scheme val="minor"/>
    </font>
    <font>
      <b/>
      <sz val="11"/>
      <color rgb="FFFF3300"/>
      <name val="Calibri"/>
      <family val="2"/>
      <scheme val="minor"/>
    </font>
    <font>
      <b/>
      <sz val="12"/>
      <color theme="0"/>
      <name val="Calibri"/>
      <family val="2"/>
      <scheme val="minor"/>
    </font>
    <font>
      <sz val="10"/>
      <color rgb="FFFF0000"/>
      <name val="Arial"/>
      <family val="2"/>
    </font>
    <font>
      <u/>
      <sz val="10"/>
      <color indexed="12"/>
      <name val="Calibri"/>
      <family val="2"/>
    </font>
    <font>
      <i/>
      <sz val="10"/>
      <color theme="1"/>
      <name val="Arial"/>
      <family val="2"/>
    </font>
    <font>
      <i/>
      <sz val="11"/>
      <color rgb="FF444444"/>
      <name val="Calibri"/>
      <family val="2"/>
      <charset val="1"/>
    </font>
    <font>
      <sz val="11"/>
      <color rgb="FFFF0000"/>
      <name val="Calibri"/>
      <family val="2"/>
    </font>
    <font>
      <i/>
      <sz val="11"/>
      <color indexed="8"/>
      <name val="Calibri"/>
      <family val="2"/>
      <scheme val="minor"/>
    </font>
    <font>
      <b/>
      <sz val="11"/>
      <color rgb="FF000000"/>
      <name val="Calibri"/>
      <family val="2"/>
    </font>
    <font>
      <b/>
      <sz val="11"/>
      <color rgb="FFFF0000"/>
      <name val="Calibri"/>
      <family val="2"/>
    </font>
    <font>
      <i/>
      <sz val="9"/>
      <name val="Calibri"/>
      <family val="2"/>
    </font>
    <font>
      <sz val="11"/>
      <color rgb="FF000000"/>
      <name val="Calibri"/>
      <family val="2"/>
    </font>
    <font>
      <sz val="9"/>
      <color rgb="FF000000"/>
      <name val="Calibri"/>
      <family val="2"/>
    </font>
    <font>
      <sz val="9"/>
      <name val="Calibri"/>
      <family val="2"/>
    </font>
    <font>
      <i/>
      <sz val="11"/>
      <color rgb="FF444444"/>
      <name val="Calibri"/>
      <charset val="1"/>
    </font>
    <font>
      <b/>
      <sz val="11"/>
      <color rgb="FFFFFFFF"/>
      <name val="Calibri"/>
      <family val="2"/>
      <scheme val="minor"/>
    </font>
    <font>
      <i/>
      <sz val="11"/>
      <color rgb="FF000000"/>
      <name val="Calibri"/>
      <family val="2"/>
      <scheme val="minor"/>
    </font>
    <font>
      <b/>
      <i/>
      <sz val="11"/>
      <color rgb="FFFF0000"/>
      <name val="Calibri"/>
      <family val="2"/>
    </font>
    <font>
      <b/>
      <sz val="14"/>
      <color theme="0"/>
      <name val="Century Gothic"/>
      <family val="2"/>
    </font>
    <font>
      <b/>
      <u/>
      <sz val="11"/>
      <color indexed="12"/>
      <name val="Calibri"/>
      <family val="2"/>
    </font>
    <font>
      <b/>
      <i/>
      <sz val="12"/>
      <name val="Calibri"/>
      <family val="2"/>
      <scheme val="minor"/>
    </font>
  </fonts>
  <fills count="7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theme="1" tint="0.34998626667073579"/>
        <bgColor indexed="64"/>
      </patternFill>
    </fill>
    <fill>
      <patternFill patternType="solid">
        <fgColor indexed="51"/>
        <bgColor indexed="64"/>
      </patternFill>
    </fill>
    <fill>
      <patternFill patternType="solid">
        <fgColor rgb="FFC0C5A3"/>
        <bgColor indexed="64"/>
      </patternFill>
    </fill>
    <fill>
      <patternFill patternType="solid">
        <fgColor rgb="FFFFE07D"/>
        <bgColor indexed="64"/>
      </patternFill>
    </fill>
    <fill>
      <patternFill patternType="solid">
        <fgColor rgb="FFFFE48F"/>
        <bgColor indexed="64"/>
      </patternFill>
    </fill>
    <fill>
      <patternFill patternType="solid">
        <fgColor theme="1" tint="0.249977111117893"/>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C0504D"/>
        <bgColor indexed="64"/>
      </patternFill>
    </fill>
    <fill>
      <patternFill patternType="solid">
        <fgColor rgb="FF0070C0"/>
        <bgColor indexed="64"/>
      </patternFill>
    </fill>
    <fill>
      <patternFill patternType="solid">
        <fgColor theme="1"/>
        <bgColor indexed="64"/>
      </patternFill>
    </fill>
    <fill>
      <patternFill patternType="solid">
        <fgColor rgb="FFD9D9D9"/>
        <bgColor indexed="64"/>
      </patternFill>
    </fill>
    <fill>
      <patternFill patternType="solid">
        <fgColor rgb="FFFFFFFF"/>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F2F2F2"/>
        <bgColor rgb="FF000000"/>
      </patternFill>
    </fill>
    <fill>
      <patternFill patternType="solid">
        <fgColor rgb="FFFFC000"/>
        <bgColor rgb="FF000000"/>
      </patternFill>
    </fill>
    <fill>
      <patternFill patternType="solid">
        <fgColor rgb="FFFFE48F"/>
        <bgColor rgb="FF000000"/>
      </patternFill>
    </fill>
    <fill>
      <patternFill patternType="solid">
        <fgColor rgb="FF8DB4E2"/>
        <bgColor rgb="FF000000"/>
      </patternFill>
    </fill>
    <fill>
      <patternFill patternType="solid">
        <fgColor rgb="FF808080"/>
        <bgColor indexed="64"/>
      </patternFill>
    </fill>
    <fill>
      <patternFill patternType="solid">
        <fgColor rgb="FFC0000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s>
  <borders count="8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double">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bottom style="thin">
        <color theme="4" tint="0.39997558519241921"/>
      </bottom>
      <diagonal/>
    </border>
    <border>
      <left/>
      <right/>
      <top style="thin">
        <color theme="4" tint="0.39997558519241921"/>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s>
  <cellStyleXfs count="194">
    <xf numFmtId="0" fontId="0" fillId="0" borderId="0"/>
    <xf numFmtId="9" fontId="1" fillId="0" borderId="0" applyFont="0" applyFill="0" applyBorder="0" applyAlignment="0" applyProtection="0"/>
    <xf numFmtId="0" fontId="24" fillId="0" borderId="0" applyNumberFormat="0" applyFill="0" applyBorder="0" applyAlignment="0" applyProtection="0">
      <alignment vertical="top"/>
      <protection locked="0"/>
    </xf>
    <xf numFmtId="43"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5" fillId="0" borderId="0" applyNumberFormat="0" applyFill="0" applyBorder="0" applyAlignment="0" applyProtection="0"/>
    <xf numFmtId="0" fontId="76" fillId="0" borderId="51" applyNumberFormat="0" applyFill="0" applyAlignment="0" applyProtection="0"/>
    <xf numFmtId="0" fontId="77" fillId="0" borderId="52" applyNumberFormat="0" applyFill="0" applyAlignment="0" applyProtection="0"/>
    <xf numFmtId="0" fontId="78" fillId="0" borderId="53" applyNumberFormat="0" applyFill="0" applyAlignment="0" applyProtection="0"/>
    <xf numFmtId="0" fontId="78" fillId="0" borderId="0" applyNumberFormat="0" applyFill="0" applyBorder="0" applyAlignment="0" applyProtection="0"/>
    <xf numFmtId="0" fontId="79" fillId="19" borderId="0" applyNumberFormat="0" applyBorder="0" applyAlignment="0" applyProtection="0"/>
    <xf numFmtId="0" fontId="80" fillId="20" borderId="0" applyNumberFormat="0" applyBorder="0" applyAlignment="0" applyProtection="0"/>
    <xf numFmtId="0" fontId="81" fillId="21" borderId="0" applyNumberFormat="0" applyBorder="0" applyAlignment="0" applyProtection="0"/>
    <xf numFmtId="0" fontId="82" fillId="22" borderId="54" applyNumberFormat="0" applyAlignment="0" applyProtection="0"/>
    <xf numFmtId="0" fontId="83" fillId="23" borderId="55" applyNumberFormat="0" applyAlignment="0" applyProtection="0"/>
    <xf numFmtId="0" fontId="84" fillId="23" borderId="54" applyNumberFormat="0" applyAlignment="0" applyProtection="0"/>
    <xf numFmtId="0" fontId="85" fillId="0" borderId="56" applyNumberFormat="0" applyFill="0" applyAlignment="0" applyProtection="0"/>
    <xf numFmtId="0" fontId="72" fillId="24" borderId="57" applyNumberFormat="0" applyAlignment="0" applyProtection="0"/>
    <xf numFmtId="0" fontId="29" fillId="0" borderId="0" applyNumberFormat="0" applyFill="0" applyBorder="0" applyAlignment="0" applyProtection="0"/>
    <xf numFmtId="0" fontId="1" fillId="25" borderId="58" applyNumberFormat="0" applyFont="0" applyAlignment="0" applyProtection="0"/>
    <xf numFmtId="0" fontId="86" fillId="0" borderId="0" applyNumberFormat="0" applyFill="0" applyBorder="0" applyAlignment="0" applyProtection="0"/>
    <xf numFmtId="0" fontId="21" fillId="0" borderId="59" applyNumberFormat="0" applyFill="0" applyAlignment="0" applyProtection="0"/>
    <xf numFmtId="0" fontId="4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1" fillId="49" borderId="0" applyNumberFormat="0" applyBorder="0" applyAlignment="0" applyProtection="0"/>
    <xf numFmtId="0" fontId="87" fillId="0" borderId="0" applyNumberFormat="0" applyFill="0" applyBorder="0" applyAlignment="0" applyProtection="0">
      <alignment vertical="top"/>
      <protection locked="0"/>
    </xf>
    <xf numFmtId="0" fontId="92" fillId="0" borderId="0" applyNumberFormat="0" applyFill="0" applyBorder="0" applyAlignment="0" applyProtection="0"/>
    <xf numFmtId="166" fontId="94" fillId="0" borderId="0"/>
    <xf numFmtId="183" fontId="94" fillId="0" borderId="0"/>
    <xf numFmtId="0" fontId="10" fillId="0" borderId="0" applyNumberFormat="0" applyBorder="0" applyAlignment="0"/>
    <xf numFmtId="0" fontId="93" fillId="0" borderId="0" applyNumberFormat="0" applyBorder="0" applyAlignment="0"/>
    <xf numFmtId="0" fontId="93" fillId="0" borderId="0" applyNumberFormat="0" applyBorder="0" applyAlignment="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94" fillId="0" borderId="0"/>
    <xf numFmtId="185" fontId="94" fillId="0" borderId="0"/>
    <xf numFmtId="186" fontId="94" fillId="0" borderId="0"/>
    <xf numFmtId="187" fontId="94"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9" fontId="1" fillId="0" borderId="0" applyFont="0" applyFill="0" applyBorder="0" applyAlignment="0" applyProtection="0"/>
    <xf numFmtId="0" fontId="94" fillId="0" borderId="0"/>
    <xf numFmtId="0" fontId="95" fillId="0" borderId="0"/>
    <xf numFmtId="0" fontId="96" fillId="0" borderId="0"/>
    <xf numFmtId="0" fontId="97" fillId="0" borderId="0"/>
    <xf numFmtId="0" fontId="94" fillId="0" borderId="0"/>
    <xf numFmtId="0" fontId="98" fillId="0" borderId="0"/>
    <xf numFmtId="0" fontId="1" fillId="0" borderId="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0" borderId="0"/>
    <xf numFmtId="0" fontId="1" fillId="0" borderId="0"/>
    <xf numFmtId="0" fontId="1" fillId="25" borderId="58" applyNumberFormat="0" applyFont="0" applyAlignment="0" applyProtection="0"/>
    <xf numFmtId="0" fontId="1" fillId="0" borderId="0"/>
    <xf numFmtId="0" fontId="1" fillId="25" borderId="58" applyNumberFormat="0" applyFont="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43" fontId="1" fillId="0" borderId="0" applyFon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0" borderId="0"/>
    <xf numFmtId="0" fontId="1" fillId="25" borderId="58" applyNumberFormat="0" applyFont="0" applyAlignment="0" applyProtection="0"/>
    <xf numFmtId="0" fontId="1" fillId="25" borderId="58" applyNumberFormat="0" applyFont="0" applyAlignment="0" applyProtection="0"/>
    <xf numFmtId="0" fontId="1" fillId="25" borderId="58" applyNumberFormat="0" applyFont="0" applyAlignment="0" applyProtection="0"/>
    <xf numFmtId="0" fontId="1" fillId="0" borderId="0"/>
    <xf numFmtId="0" fontId="1" fillId="0" borderId="0"/>
    <xf numFmtId="0" fontId="1" fillId="25" borderId="58" applyNumberFormat="0" applyFont="0" applyAlignment="0" applyProtection="0"/>
    <xf numFmtId="0" fontId="1" fillId="0" borderId="0"/>
    <xf numFmtId="0" fontId="1" fillId="25" borderId="58" applyNumberFormat="0" applyFont="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004">
    <xf numFmtId="0" fontId="0" fillId="0" borderId="0" xfId="0"/>
    <xf numFmtId="0" fontId="5" fillId="0" borderId="0" xfId="0" applyFont="1" applyAlignment="1">
      <alignment horizontal="center"/>
    </xf>
    <xf numFmtId="0" fontId="2" fillId="0" borderId="0" xfId="0" applyFont="1" applyBorder="1" applyAlignment="1">
      <alignment horizontal="right"/>
    </xf>
    <xf numFmtId="4" fontId="2" fillId="0" borderId="0" xfId="0" applyNumberFormat="1" applyFont="1" applyBorder="1" applyAlignment="1">
      <alignment horizontal="right"/>
    </xf>
    <xf numFmtId="0" fontId="2" fillId="0" borderId="0" xfId="0" applyFont="1" applyBorder="1" applyAlignment="1">
      <alignment horizontal="center"/>
    </xf>
    <xf numFmtId="0" fontId="2" fillId="0" borderId="0" xfId="0" applyFont="1"/>
    <xf numFmtId="3" fontId="2" fillId="0" borderId="0" xfId="0" applyNumberFormat="1" applyFont="1" applyBorder="1"/>
    <xf numFmtId="0" fontId="4" fillId="0" borderId="0" xfId="0" applyFont="1" applyBorder="1" applyAlignment="1">
      <alignment horizontal="center"/>
    </xf>
    <xf numFmtId="0" fontId="4" fillId="0" borderId="0" xfId="0" applyFont="1" applyBorder="1" applyAlignment="1">
      <alignment horizontal="right"/>
    </xf>
    <xf numFmtId="0" fontId="3" fillId="0" borderId="0" xfId="0" applyFont="1" applyAlignment="1">
      <alignment horizontal="center"/>
    </xf>
    <xf numFmtId="4" fontId="4" fillId="0" borderId="0" xfId="0" applyNumberFormat="1" applyFont="1" applyBorder="1" applyAlignment="1">
      <alignment horizontal="right"/>
    </xf>
    <xf numFmtId="0" fontId="8" fillId="0" borderId="0" xfId="0" applyFont="1"/>
    <xf numFmtId="0" fontId="9" fillId="0" borderId="0" xfId="0" applyFont="1"/>
    <xf numFmtId="0" fontId="8" fillId="0" borderId="0" xfId="0" applyFont="1" applyAlignment="1">
      <alignment horizontal="center"/>
    </xf>
    <xf numFmtId="0" fontId="11" fillId="0" borderId="0" xfId="0" applyFont="1"/>
    <xf numFmtId="0" fontId="12" fillId="0" borderId="0" xfId="0" applyFont="1"/>
    <xf numFmtId="0" fontId="2" fillId="0" borderId="0" xfId="0" applyFont="1" applyFill="1" applyBorder="1"/>
    <xf numFmtId="0" fontId="2" fillId="0" borderId="0" xfId="0" applyFont="1" applyBorder="1" applyAlignment="1" applyProtection="1">
      <alignment vertical="top"/>
      <protection locked="0"/>
    </xf>
    <xf numFmtId="0" fontId="15" fillId="0" borderId="0" xfId="0" applyFont="1" applyBorder="1"/>
    <xf numFmtId="0" fontId="4" fillId="0" borderId="0" xfId="0" applyFont="1" applyBorder="1"/>
    <xf numFmtId="0" fontId="0" fillId="0" borderId="12" xfId="0" applyBorder="1"/>
    <xf numFmtId="4" fontId="2" fillId="0" borderId="0" xfId="0" applyNumberFormat="1" applyFont="1" applyFill="1" applyBorder="1"/>
    <xf numFmtId="0" fontId="2" fillId="0" borderId="16" xfId="0" applyFont="1" applyBorder="1"/>
    <xf numFmtId="0" fontId="2" fillId="0" borderId="20" xfId="0" applyFont="1" applyBorder="1"/>
    <xf numFmtId="0" fontId="2" fillId="0" borderId="12" xfId="0" applyFont="1" applyBorder="1"/>
    <xf numFmtId="0" fontId="2" fillId="0" borderId="23" xfId="0" applyFont="1" applyBorder="1"/>
    <xf numFmtId="0" fontId="2" fillId="0" borderId="11" xfId="0" applyFont="1" applyBorder="1"/>
    <xf numFmtId="0" fontId="4" fillId="0" borderId="0" xfId="0" applyFont="1" applyFill="1" applyBorder="1"/>
    <xf numFmtId="0" fontId="4" fillId="0" borderId="0" xfId="0" applyFont="1" applyFill="1" applyBorder="1" applyAlignment="1">
      <alignment horizontal="right"/>
    </xf>
    <xf numFmtId="3" fontId="4" fillId="0" borderId="0" xfId="0" applyNumberFormat="1" applyFont="1" applyFill="1" applyBorder="1"/>
    <xf numFmtId="0" fontId="9" fillId="0" borderId="0" xfId="0" applyFont="1" applyFill="1"/>
    <xf numFmtId="168" fontId="20" fillId="0" borderId="0" xfId="0" applyNumberFormat="1" applyFont="1" applyBorder="1" applyAlignment="1" applyProtection="1">
      <alignment vertical="top"/>
      <protection locked="0"/>
    </xf>
    <xf numFmtId="0" fontId="2" fillId="0" borderId="0" xfId="0" applyFont="1" applyFill="1"/>
    <xf numFmtId="2" fontId="2" fillId="0" borderId="0" xfId="0" applyNumberFormat="1" applyFont="1" applyFill="1"/>
    <xf numFmtId="0" fontId="2" fillId="0" borderId="13" xfId="0" applyFont="1" applyBorder="1" applyAlignment="1" applyProtection="1">
      <alignment vertical="top"/>
      <protection locked="0"/>
    </xf>
    <xf numFmtId="0" fontId="2" fillId="0" borderId="13" xfId="0" applyFont="1" applyBorder="1"/>
    <xf numFmtId="0" fontId="2" fillId="0" borderId="26" xfId="0" applyFont="1" applyBorder="1"/>
    <xf numFmtId="0" fontId="19" fillId="0" borderId="0" xfId="0" applyFont="1"/>
    <xf numFmtId="169" fontId="2" fillId="0" borderId="0" xfId="0" applyNumberFormat="1" applyFont="1" applyBorder="1"/>
    <xf numFmtId="168" fontId="4" fillId="0" borderId="13" xfId="0" applyNumberFormat="1" applyFont="1" applyBorder="1" applyAlignment="1" applyProtection="1">
      <alignment vertical="top"/>
      <protection locked="0"/>
    </xf>
    <xf numFmtId="0" fontId="4" fillId="0" borderId="13" xfId="0" applyFont="1" applyBorder="1"/>
    <xf numFmtId="0" fontId="4" fillId="0" borderId="0" xfId="0" applyFont="1" applyFill="1" applyBorder="1" applyAlignment="1" applyProtection="1">
      <alignment horizontal="right" vertical="top"/>
      <protection locked="0"/>
    </xf>
    <xf numFmtId="0" fontId="0" fillId="0" borderId="0" xfId="0" applyAlignment="1">
      <alignment horizontal="center"/>
    </xf>
    <xf numFmtId="0" fontId="10" fillId="0" borderId="0" xfId="0" applyFont="1" applyBorder="1"/>
    <xf numFmtId="0" fontId="10" fillId="0" borderId="0" xfId="0" applyFont="1"/>
    <xf numFmtId="0" fontId="0" fillId="0" borderId="0" xfId="0" applyFill="1" applyBorder="1"/>
    <xf numFmtId="0" fontId="2" fillId="0" borderId="0" xfId="0" applyFont="1" applyFill="1" applyBorder="1" applyAlignment="1">
      <alignment horizontal="center"/>
    </xf>
    <xf numFmtId="0" fontId="8" fillId="0" borderId="0" xfId="0" applyFont="1" applyFill="1"/>
    <xf numFmtId="0" fontId="19" fillId="0" borderId="20" xfId="0" applyFont="1" applyBorder="1"/>
    <xf numFmtId="0" fontId="0" fillId="0" borderId="20" xfId="0" applyBorder="1"/>
    <xf numFmtId="4" fontId="2" fillId="0" borderId="0" xfId="0" applyNumberFormat="1" applyFont="1"/>
    <xf numFmtId="0" fontId="4" fillId="0" borderId="0" xfId="0" applyFont="1" applyFill="1" applyBorder="1" applyAlignment="1">
      <alignment horizontal="center" vertical="center"/>
    </xf>
    <xf numFmtId="4" fontId="2" fillId="0" borderId="0" xfId="1" applyNumberFormat="1" applyFont="1" applyBorder="1" applyAlignment="1">
      <alignment horizontal="center"/>
    </xf>
    <xf numFmtId="0" fontId="25" fillId="0" borderId="0" xfId="0" applyFont="1" applyFill="1"/>
    <xf numFmtId="0" fontId="8" fillId="0" borderId="0" xfId="0" applyFont="1" applyFill="1" applyBorder="1"/>
    <xf numFmtId="10" fontId="4" fillId="0" borderId="0" xfId="0" applyNumberFormat="1" applyFont="1" applyBorder="1"/>
    <xf numFmtId="10" fontId="4" fillId="0" borderId="0" xfId="0" applyNumberFormat="1" applyFont="1" applyFill="1" applyBorder="1"/>
    <xf numFmtId="3" fontId="2" fillId="3" borderId="0" xfId="0" applyNumberFormat="1" applyFont="1" applyFill="1" applyBorder="1"/>
    <xf numFmtId="3" fontId="2" fillId="4" borderId="0" xfId="0" applyNumberFormat="1" applyFont="1" applyFill="1" applyBorder="1"/>
    <xf numFmtId="3" fontId="4" fillId="5" borderId="0" xfId="0" applyNumberFormat="1" applyFont="1" applyFill="1" applyBorder="1"/>
    <xf numFmtId="3" fontId="2" fillId="5" borderId="0" xfId="0" applyNumberFormat="1" applyFont="1" applyFill="1" applyBorder="1"/>
    <xf numFmtId="3" fontId="2" fillId="5" borderId="33" xfId="0" applyNumberFormat="1" applyFont="1" applyFill="1" applyBorder="1" applyAlignment="1">
      <alignment horizontal="center"/>
    </xf>
    <xf numFmtId="3" fontId="2" fillId="5" borderId="33" xfId="0" applyNumberFormat="1" applyFont="1" applyFill="1" applyBorder="1"/>
    <xf numFmtId="3" fontId="4" fillId="5" borderId="33" xfId="0" applyNumberFormat="1" applyFont="1" applyFill="1" applyBorder="1"/>
    <xf numFmtId="3" fontId="4" fillId="5" borderId="4" xfId="0" applyNumberFormat="1" applyFont="1" applyFill="1" applyBorder="1"/>
    <xf numFmtId="0" fontId="4" fillId="5" borderId="33" xfId="0" applyFont="1" applyFill="1" applyBorder="1" applyAlignment="1">
      <alignment horizontal="center"/>
    </xf>
    <xf numFmtId="3" fontId="2" fillId="3" borderId="33" xfId="0" applyNumberFormat="1" applyFont="1" applyFill="1" applyBorder="1"/>
    <xf numFmtId="3" fontId="4" fillId="3" borderId="17" xfId="0" applyNumberFormat="1" applyFont="1" applyFill="1" applyBorder="1"/>
    <xf numFmtId="3" fontId="4" fillId="4" borderId="17" xfId="0" applyNumberFormat="1" applyFont="1" applyFill="1" applyBorder="1"/>
    <xf numFmtId="3" fontId="4" fillId="5" borderId="17" xfId="0" applyNumberFormat="1" applyFont="1" applyFill="1" applyBorder="1"/>
    <xf numFmtId="0" fontId="2" fillId="4" borderId="33" xfId="0" applyFont="1" applyFill="1" applyBorder="1" applyAlignment="1">
      <alignment horizontal="center"/>
    </xf>
    <xf numFmtId="3" fontId="2" fillId="4" borderId="33" xfId="0" applyNumberFormat="1" applyFont="1" applyFill="1" applyBorder="1"/>
    <xf numFmtId="0" fontId="26" fillId="0" borderId="0" xfId="0" applyFont="1"/>
    <xf numFmtId="0" fontId="2"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10" fillId="0" borderId="1" xfId="0" applyFont="1" applyBorder="1"/>
    <xf numFmtId="3" fontId="23" fillId="0" borderId="0" xfId="0" applyNumberFormat="1" applyFont="1" applyAlignment="1">
      <alignment vertical="center"/>
    </xf>
    <xf numFmtId="0" fontId="2" fillId="0" borderId="0" xfId="0" applyFont="1" applyAlignment="1">
      <alignment vertical="center"/>
    </xf>
    <xf numFmtId="17" fontId="4" fillId="0" borderId="0" xfId="0" applyNumberFormat="1" applyFont="1" applyBorder="1" applyAlignment="1" applyProtection="1">
      <alignment horizontal="center" vertical="center"/>
      <protection locked="0"/>
    </xf>
    <xf numFmtId="0" fontId="4" fillId="0" borderId="0" xfId="0" applyFont="1" applyAlignment="1">
      <alignment vertical="center"/>
    </xf>
    <xf numFmtId="0" fontId="10" fillId="0" borderId="0" xfId="0" applyFont="1" applyAlignment="1">
      <alignment vertical="center"/>
    </xf>
    <xf numFmtId="0" fontId="2" fillId="0" borderId="0" xfId="0" applyFont="1" applyBorder="1" applyAlignment="1">
      <alignment vertical="center"/>
    </xf>
    <xf numFmtId="0" fontId="10" fillId="0" borderId="0" xfId="0" applyFont="1" applyFill="1" applyBorder="1"/>
    <xf numFmtId="0" fontId="27" fillId="0" borderId="0" xfId="0" applyFont="1"/>
    <xf numFmtId="3" fontId="4" fillId="5" borderId="33" xfId="0" applyNumberFormat="1" applyFont="1" applyFill="1" applyBorder="1" applyAlignment="1">
      <alignment horizontal="center"/>
    </xf>
    <xf numFmtId="0" fontId="28" fillId="0" borderId="0" xfId="0" applyFont="1"/>
    <xf numFmtId="0" fontId="0" fillId="0" borderId="0" xfId="0" applyFill="1"/>
    <xf numFmtId="0" fontId="10" fillId="0" borderId="0" xfId="0" applyNumberFormat="1" applyFont="1" applyAlignment="1">
      <alignment vertical="top" wrapText="1"/>
    </xf>
    <xf numFmtId="4" fontId="4" fillId="0" borderId="0" xfId="0" applyNumberFormat="1" applyFont="1" applyFill="1" applyBorder="1"/>
    <xf numFmtId="0" fontId="4" fillId="0" borderId="0" xfId="0" applyFont="1" applyFill="1" applyBorder="1" applyAlignment="1">
      <alignment horizontal="center"/>
    </xf>
    <xf numFmtId="10" fontId="4" fillId="0" borderId="0" xfId="0" applyNumberFormat="1" applyFont="1" applyFill="1" applyBorder="1" applyAlignment="1">
      <alignment horizontal="center"/>
    </xf>
    <xf numFmtId="10" fontId="4" fillId="0" borderId="32" xfId="0" applyNumberFormat="1" applyFont="1" applyFill="1" applyBorder="1" applyAlignment="1">
      <alignment horizontal="center"/>
    </xf>
    <xf numFmtId="4" fontId="4" fillId="0" borderId="0" xfId="1" applyNumberFormat="1" applyFont="1" applyFill="1" applyBorder="1" applyAlignment="1">
      <alignment horizontal="center"/>
    </xf>
    <xf numFmtId="0" fontId="10" fillId="0" borderId="0" xfId="0" applyFont="1" applyAlignment="1">
      <alignment horizontal="center"/>
    </xf>
    <xf numFmtId="0" fontId="2" fillId="0" borderId="0" xfId="0" applyFont="1" applyAlignment="1"/>
    <xf numFmtId="4" fontId="4" fillId="0" borderId="0" xfId="0" applyNumberFormat="1" applyFont="1" applyFill="1" applyBorder="1" applyAlignment="1">
      <alignment horizontal="right"/>
    </xf>
    <xf numFmtId="0" fontId="2" fillId="0" borderId="0" xfId="0" applyFont="1" applyFill="1" applyBorder="1" applyAlignment="1">
      <alignment vertical="center"/>
    </xf>
    <xf numFmtId="0" fontId="2" fillId="0" borderId="0" xfId="0" applyFont="1" applyBorder="1"/>
    <xf numFmtId="0" fontId="0" fillId="0" borderId="0" xfId="0" applyBorder="1" applyAlignment="1"/>
    <xf numFmtId="43" fontId="0" fillId="0" borderId="0" xfId="3" applyFont="1"/>
    <xf numFmtId="173" fontId="0" fillId="0" borderId="0" xfId="0" applyNumberFormat="1"/>
    <xf numFmtId="0" fontId="6" fillId="0" borderId="0" xfId="0" applyFont="1" applyFill="1" applyBorder="1"/>
    <xf numFmtId="4" fontId="0" fillId="0" borderId="0" xfId="0" applyNumberFormat="1" applyFill="1" applyBorder="1"/>
    <xf numFmtId="3" fontId="4" fillId="0" borderId="0" xfId="0" applyNumberFormat="1" applyFont="1" applyBorder="1"/>
    <xf numFmtId="0" fontId="33" fillId="0" borderId="0" xfId="0" applyFont="1" applyFill="1" applyBorder="1"/>
    <xf numFmtId="0" fontId="0" fillId="0" borderId="12" xfId="0" applyFill="1" applyBorder="1"/>
    <xf numFmtId="169" fontId="0" fillId="0" borderId="0" xfId="0" applyNumberFormat="1" applyFill="1" applyBorder="1"/>
    <xf numFmtId="0" fontId="0" fillId="0" borderId="0" xfId="0" applyFont="1" applyFill="1" applyBorder="1"/>
    <xf numFmtId="0" fontId="0" fillId="0" borderId="0" xfId="0" applyAlignment="1"/>
    <xf numFmtId="4" fontId="0" fillId="0" borderId="0" xfId="0" applyNumberFormat="1" applyFill="1"/>
    <xf numFmtId="0" fontId="2" fillId="0" borderId="20" xfId="0" applyFont="1" applyBorder="1" applyAlignment="1">
      <alignment vertical="center"/>
    </xf>
    <xf numFmtId="0" fontId="2" fillId="0" borderId="12" xfId="0" applyFont="1" applyBorder="1" applyAlignment="1">
      <alignment vertical="center"/>
    </xf>
    <xf numFmtId="164" fontId="2" fillId="0" borderId="0" xfId="0" applyNumberFormat="1" applyFont="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4" fontId="2" fillId="0" borderId="0" xfId="0" applyNumberFormat="1" applyFont="1" applyFill="1" applyBorder="1" applyAlignment="1">
      <alignment vertical="center"/>
    </xf>
    <xf numFmtId="0" fontId="15" fillId="0" borderId="0" xfId="0" applyFont="1" applyBorder="1" applyAlignment="1">
      <alignment vertical="center"/>
    </xf>
    <xf numFmtId="1" fontId="2" fillId="0" borderId="0" xfId="0" applyNumberFormat="1" applyFont="1" applyBorder="1" applyAlignment="1" applyProtection="1">
      <alignment vertical="center"/>
      <protection locked="0"/>
    </xf>
    <xf numFmtId="3" fontId="23" fillId="0" borderId="0" xfId="0" applyNumberFormat="1" applyFont="1" applyFill="1" applyBorder="1"/>
    <xf numFmtId="0" fontId="4" fillId="0" borderId="0" xfId="0" applyFont="1" applyFill="1" applyBorder="1" applyAlignment="1">
      <alignment horizontal="left"/>
    </xf>
    <xf numFmtId="0" fontId="15" fillId="0" borderId="20" xfId="0" applyFont="1" applyBorder="1"/>
    <xf numFmtId="0" fontId="15" fillId="0" borderId="20" xfId="0" applyFont="1" applyBorder="1" applyAlignment="1">
      <alignment vertical="center"/>
    </xf>
    <xf numFmtId="0" fontId="0" fillId="0" borderId="20" xfId="0" applyBorder="1" applyAlignment="1">
      <alignment horizontal="right" vertical="center"/>
    </xf>
    <xf numFmtId="3" fontId="0" fillId="0" borderId="0" xfId="0" applyNumberFormat="1"/>
    <xf numFmtId="3" fontId="4" fillId="4" borderId="14" xfId="0" applyNumberFormat="1" applyFont="1" applyFill="1" applyBorder="1"/>
    <xf numFmtId="3" fontId="4" fillId="5" borderId="3" xfId="0" applyNumberFormat="1" applyFont="1" applyFill="1" applyBorder="1"/>
    <xf numFmtId="3" fontId="4" fillId="3" borderId="14" xfId="0" applyNumberFormat="1" applyFont="1" applyFill="1" applyBorder="1"/>
    <xf numFmtId="10" fontId="2" fillId="4" borderId="33" xfId="1" applyNumberFormat="1" applyFont="1" applyFill="1" applyBorder="1" applyAlignment="1">
      <alignment horizontal="center"/>
    </xf>
    <xf numFmtId="10" fontId="4" fillId="5" borderId="6" xfId="0" applyNumberFormat="1" applyFont="1" applyFill="1" applyBorder="1" applyAlignment="1">
      <alignment horizontal="center"/>
    </xf>
    <xf numFmtId="3" fontId="2" fillId="0" borderId="0" xfId="0" applyNumberFormat="1" applyFont="1" applyFill="1" applyBorder="1"/>
    <xf numFmtId="0" fontId="0" fillId="0" borderId="1" xfId="0" applyBorder="1" applyAlignment="1">
      <alignment vertical="center"/>
    </xf>
    <xf numFmtId="0" fontId="2" fillId="0" borderId="1" xfId="0" applyFont="1" applyBorder="1" applyAlignment="1" applyProtection="1">
      <alignment vertical="center"/>
      <protection locked="0"/>
    </xf>
    <xf numFmtId="4" fontId="14" fillId="0" borderId="0" xfId="0" applyNumberFormat="1" applyFont="1" applyBorder="1" applyAlignment="1">
      <alignment vertical="center"/>
    </xf>
    <xf numFmtId="0" fontId="14" fillId="0" borderId="0" xfId="0" applyFont="1" applyBorder="1" applyAlignment="1">
      <alignment vertical="center"/>
    </xf>
    <xf numFmtId="10" fontId="2" fillId="3" borderId="41" xfId="0" applyNumberFormat="1" applyFont="1" applyFill="1" applyBorder="1" applyAlignment="1">
      <alignment horizontal="center"/>
    </xf>
    <xf numFmtId="10" fontId="2" fillId="3" borderId="5" xfId="0" applyNumberFormat="1" applyFont="1" applyFill="1" applyBorder="1" applyAlignment="1">
      <alignment horizontal="center"/>
    </xf>
    <xf numFmtId="10" fontId="2" fillId="4" borderId="33" xfId="0" applyNumberFormat="1" applyFont="1" applyFill="1" applyBorder="1" applyAlignment="1">
      <alignment horizontal="center"/>
    </xf>
    <xf numFmtId="10" fontId="2" fillId="5" borderId="33" xfId="0" applyNumberFormat="1" applyFont="1" applyFill="1" applyBorder="1" applyAlignment="1">
      <alignment horizontal="center"/>
    </xf>
    <xf numFmtId="10" fontId="2" fillId="5" borderId="41" xfId="0" applyNumberFormat="1" applyFont="1" applyFill="1" applyBorder="1" applyAlignment="1">
      <alignment horizontal="center"/>
    </xf>
    <xf numFmtId="10" fontId="2" fillId="5" borderId="5" xfId="0" applyNumberFormat="1" applyFont="1" applyFill="1" applyBorder="1" applyAlignment="1">
      <alignment horizontal="center"/>
    </xf>
    <xf numFmtId="10" fontId="2" fillId="5" borderId="17" xfId="0" applyNumberFormat="1" applyFont="1" applyFill="1" applyBorder="1" applyAlignment="1">
      <alignment horizontal="center"/>
    </xf>
    <xf numFmtId="0" fontId="10" fillId="0" borderId="12" xfId="0" applyFont="1" applyBorder="1"/>
    <xf numFmtId="0" fontId="10" fillId="0" borderId="20" xfId="0" applyFont="1" applyBorder="1"/>
    <xf numFmtId="0" fontId="2" fillId="0" borderId="16" xfId="0" applyFont="1" applyFill="1" applyBorder="1"/>
    <xf numFmtId="168" fontId="20" fillId="0" borderId="13" xfId="0" applyNumberFormat="1" applyFont="1" applyBorder="1" applyAlignment="1" applyProtection="1">
      <alignment vertical="top"/>
      <protection locked="0"/>
    </xf>
    <xf numFmtId="0" fontId="15" fillId="0" borderId="23" xfId="0" applyFont="1" applyFill="1" applyBorder="1"/>
    <xf numFmtId="0" fontId="6" fillId="0" borderId="0" xfId="0" applyFont="1" applyFill="1"/>
    <xf numFmtId="0" fontId="10" fillId="0" borderId="16" xfId="0" applyFont="1" applyBorder="1"/>
    <xf numFmtId="0" fontId="10" fillId="0" borderId="11" xfId="0" applyFont="1" applyBorder="1"/>
    <xf numFmtId="0" fontId="10" fillId="0" borderId="0" xfId="0" applyFont="1" applyBorder="1" applyAlignment="1">
      <alignment vertical="center"/>
    </xf>
    <xf numFmtId="0" fontId="10" fillId="0" borderId="12" xfId="0" applyFont="1" applyFill="1" applyBorder="1"/>
    <xf numFmtId="37" fontId="4" fillId="0" borderId="0" xfId="0" applyNumberFormat="1" applyFont="1" applyBorder="1"/>
    <xf numFmtId="0" fontId="0" fillId="0" borderId="0" xfId="0" applyFill="1" applyBorder="1" applyAlignment="1">
      <alignment wrapText="1"/>
    </xf>
    <xf numFmtId="0" fontId="16" fillId="0" borderId="0" xfId="0" applyFont="1" applyFill="1" applyBorder="1"/>
    <xf numFmtId="0" fontId="16" fillId="0" borderId="0" xfId="0" applyFont="1" applyFill="1"/>
    <xf numFmtId="0" fontId="0" fillId="0" borderId="0" xfId="0" applyFont="1" applyFill="1" applyBorder="1" applyAlignment="1">
      <alignment wrapText="1"/>
    </xf>
    <xf numFmtId="0" fontId="16" fillId="0" borderId="0" xfId="0" applyFont="1" applyFill="1" applyBorder="1" applyAlignment="1">
      <alignment wrapText="1"/>
    </xf>
    <xf numFmtId="0" fontId="16" fillId="0" borderId="0" xfId="0" applyFont="1" applyFill="1" applyAlignment="1">
      <alignment wrapText="1"/>
    </xf>
    <xf numFmtId="0" fontId="2" fillId="0" borderId="0" xfId="0" applyFont="1" applyFill="1" applyBorder="1" applyAlignment="1">
      <alignment horizontal="center" vertical="top" wrapText="1"/>
    </xf>
    <xf numFmtId="0" fontId="10" fillId="0" borderId="20" xfId="0" applyFont="1" applyFill="1" applyBorder="1"/>
    <xf numFmtId="0" fontId="10" fillId="0" borderId="0" xfId="0" applyFont="1" applyBorder="1" applyAlignment="1">
      <alignment horizontal="right"/>
    </xf>
    <xf numFmtId="3" fontId="10" fillId="0" borderId="0" xfId="0" applyNumberFormat="1" applyFont="1" applyBorder="1"/>
    <xf numFmtId="0" fontId="0" fillId="0" borderId="0" xfId="0" applyFill="1" applyBorder="1" applyAlignment="1">
      <alignment vertical="center"/>
    </xf>
    <xf numFmtId="0" fontId="0" fillId="0" borderId="1" xfId="0" applyBorder="1"/>
    <xf numFmtId="0" fontId="10" fillId="0" borderId="0" xfId="0" applyFont="1" applyFill="1" applyAlignment="1">
      <alignment vertical="center"/>
    </xf>
    <xf numFmtId="176" fontId="10" fillId="0" borderId="0" xfId="0" applyNumberFormat="1" applyFont="1" applyAlignment="1">
      <alignment vertical="center"/>
    </xf>
    <xf numFmtId="0" fontId="10" fillId="0" borderId="0" xfId="0" applyFont="1" applyFill="1"/>
    <xf numFmtId="43" fontId="0" fillId="0" borderId="0" xfId="0" applyNumberFormat="1"/>
    <xf numFmtId="0" fontId="31" fillId="0" borderId="0" xfId="0" applyNumberFormat="1" applyFont="1" applyBorder="1" applyAlignment="1">
      <alignment horizontal="center"/>
    </xf>
    <xf numFmtId="0" fontId="0" fillId="0" borderId="0" xfId="0" applyFill="1" applyBorder="1" applyAlignment="1">
      <alignment horizontal="center"/>
    </xf>
    <xf numFmtId="0" fontId="31" fillId="0" borderId="0" xfId="0" applyNumberFormat="1" applyFont="1" applyFill="1" applyBorder="1" applyAlignment="1">
      <alignment horizontal="center"/>
    </xf>
    <xf numFmtId="0" fontId="0" fillId="0" borderId="0" xfId="0" applyNumberFormat="1" applyFill="1" applyBorder="1" applyAlignment="1">
      <alignment horizontal="left"/>
    </xf>
    <xf numFmtId="175" fontId="0" fillId="0" borderId="0" xfId="0" applyNumberFormat="1" applyFill="1" applyBorder="1"/>
    <xf numFmtId="3" fontId="0" fillId="0" borderId="0" xfId="0" applyNumberFormat="1" applyFill="1" applyBorder="1" applyAlignment="1">
      <alignment horizontal="right"/>
    </xf>
    <xf numFmtId="4" fontId="0" fillId="0" borderId="0" xfId="0" applyNumberFormat="1" applyFill="1" applyBorder="1" applyAlignment="1">
      <alignment horizontal="right"/>
    </xf>
    <xf numFmtId="172" fontId="0" fillId="0" borderId="0" xfId="0" applyNumberFormat="1" applyFill="1" applyBorder="1"/>
    <xf numFmtId="3" fontId="10" fillId="0" borderId="20" xfId="0" applyNumberFormat="1" applyFont="1" applyFill="1" applyBorder="1"/>
    <xf numFmtId="9" fontId="0" fillId="0" borderId="0" xfId="1" applyFont="1"/>
    <xf numFmtId="167" fontId="0" fillId="0" borderId="0" xfId="0" applyNumberFormat="1"/>
    <xf numFmtId="0" fontId="0" fillId="0" borderId="17" xfId="0" applyBorder="1"/>
    <xf numFmtId="0" fontId="0" fillId="0" borderId="0" xfId="0" applyFill="1" applyBorder="1" applyAlignment="1">
      <alignment horizontal="left"/>
    </xf>
    <xf numFmtId="0" fontId="0" fillId="0" borderId="0" xfId="0" applyNumberFormat="1" applyFill="1" applyBorder="1"/>
    <xf numFmtId="0" fontId="39" fillId="0" borderId="0" xfId="0" applyFont="1" applyFill="1" applyBorder="1"/>
    <xf numFmtId="177" fontId="0" fillId="0" borderId="0" xfId="0" applyNumberFormat="1" applyFill="1" applyBorder="1"/>
    <xf numFmtId="0" fontId="0" fillId="0" borderId="0" xfId="0" applyFill="1" applyBorder="1" applyAlignment="1">
      <alignment horizontal="left" indent="1"/>
    </xf>
    <xf numFmtId="10" fontId="0" fillId="0" borderId="0" xfId="0" applyNumberFormat="1"/>
    <xf numFmtId="0" fontId="46" fillId="0" borderId="0" xfId="0" applyFont="1"/>
    <xf numFmtId="0" fontId="46" fillId="0" borderId="0" xfId="0" applyFont="1" applyAlignment="1">
      <alignment horizontal="right"/>
    </xf>
    <xf numFmtId="0" fontId="0" fillId="0" borderId="25" xfId="0" applyBorder="1"/>
    <xf numFmtId="0" fontId="45" fillId="0" borderId="0" xfId="0" applyFont="1"/>
    <xf numFmtId="0" fontId="45" fillId="0" borderId="0" xfId="0" applyFont="1" applyFill="1" applyBorder="1"/>
    <xf numFmtId="9" fontId="45" fillId="0" borderId="0" xfId="0" applyNumberFormat="1" applyFont="1" applyFill="1" applyBorder="1"/>
    <xf numFmtId="0" fontId="45" fillId="0" borderId="25" xfId="0" applyFont="1" applyFill="1" applyBorder="1"/>
    <xf numFmtId="3" fontId="45" fillId="0" borderId="0" xfId="0" applyNumberFormat="1" applyFont="1" applyFill="1" applyBorder="1"/>
    <xf numFmtId="0" fontId="0" fillId="0" borderId="32" xfId="0" applyBorder="1"/>
    <xf numFmtId="9" fontId="4" fillId="5" borderId="6" xfId="0" applyNumberFormat="1" applyFont="1" applyFill="1" applyBorder="1" applyAlignment="1">
      <alignment horizontal="center"/>
    </xf>
    <xf numFmtId="9" fontId="4" fillId="4" borderId="6" xfId="0" applyNumberFormat="1" applyFont="1" applyFill="1" applyBorder="1" applyAlignment="1">
      <alignment horizontal="center" vertical="center"/>
    </xf>
    <xf numFmtId="0" fontId="0" fillId="7" borderId="0" xfId="0" applyFill="1" applyBorder="1"/>
    <xf numFmtId="0" fontId="23" fillId="0" borderId="0" xfId="0" applyFont="1" applyFill="1" applyBorder="1"/>
    <xf numFmtId="0" fontId="23" fillId="0" borderId="0" xfId="0" applyFont="1" applyFill="1" applyBorder="1" applyAlignment="1">
      <alignment horizontal="right"/>
    </xf>
    <xf numFmtId="4" fontId="4" fillId="0" borderId="0" xfId="0" applyNumberFormat="1" applyFont="1" applyFill="1" applyBorder="1" applyAlignment="1" applyProtection="1">
      <alignment vertical="center"/>
      <protection locked="0"/>
    </xf>
    <xf numFmtId="0" fontId="50" fillId="0" borderId="0" xfId="0" applyFont="1" applyFill="1" applyBorder="1" applyAlignment="1">
      <alignment horizontal="center" vertical="center"/>
    </xf>
    <xf numFmtId="0" fontId="37" fillId="0" borderId="6" xfId="0" applyFont="1" applyBorder="1" applyAlignment="1">
      <alignment horizontal="center" vertical="center"/>
    </xf>
    <xf numFmtId="0" fontId="15" fillId="0" borderId="6" xfId="0" applyFont="1" applyBorder="1" applyAlignment="1">
      <alignment horizontal="center" vertical="center"/>
    </xf>
    <xf numFmtId="17" fontId="2" fillId="0" borderId="32" xfId="0" applyNumberFormat="1" applyFont="1" applyFill="1" applyBorder="1" applyAlignment="1" applyProtection="1">
      <alignment horizontal="right" vertical="top"/>
      <protection locked="0"/>
    </xf>
    <xf numFmtId="17" fontId="2" fillId="0" borderId="14" xfId="0" applyNumberFormat="1" applyFont="1" applyFill="1" applyBorder="1" applyAlignment="1" applyProtection="1">
      <alignment horizontal="right" vertical="top"/>
      <protection locked="0"/>
    </xf>
    <xf numFmtId="0" fontId="0" fillId="0" borderId="0" xfId="0" applyAlignment="1">
      <alignment wrapText="1"/>
    </xf>
    <xf numFmtId="0" fontId="4" fillId="0" borderId="0" xfId="0" applyFont="1" applyBorder="1" applyAlignment="1" applyProtection="1">
      <alignment vertical="center"/>
      <protection locked="0"/>
    </xf>
    <xf numFmtId="0" fontId="28" fillId="0" borderId="0" xfId="0" applyFont="1" applyFill="1" applyBorder="1" applyAlignment="1">
      <alignment horizontal="center"/>
    </xf>
    <xf numFmtId="0" fontId="22" fillId="0" borderId="0" xfId="0" applyFont="1" applyFill="1" applyBorder="1" applyAlignment="1">
      <alignment horizontal="center"/>
    </xf>
    <xf numFmtId="0" fontId="0" fillId="0" borderId="0" xfId="0" applyFont="1"/>
    <xf numFmtId="0" fontId="10" fillId="2" borderId="20" xfId="0" applyFont="1" applyFill="1" applyBorder="1"/>
    <xf numFmtId="3" fontId="2" fillId="0" borderId="20" xfId="0" applyNumberFormat="1" applyFont="1" applyFill="1" applyBorder="1"/>
    <xf numFmtId="178" fontId="10" fillId="0" borderId="0" xfId="0" applyNumberFormat="1" applyFont="1" applyBorder="1"/>
    <xf numFmtId="0" fontId="48" fillId="0" borderId="0" xfId="0" applyFont="1"/>
    <xf numFmtId="0" fontId="55" fillId="0" borderId="0" xfId="0" applyFont="1" applyFill="1" applyBorder="1" applyAlignment="1">
      <alignment horizontal="left"/>
    </xf>
    <xf numFmtId="0" fontId="4" fillId="15" borderId="0" xfId="0" applyFont="1" applyFill="1" applyBorder="1"/>
    <xf numFmtId="0" fontId="23" fillId="16" borderId="0" xfId="0" applyFont="1" applyFill="1" applyBorder="1"/>
    <xf numFmtId="0" fontId="0" fillId="16" borderId="0" xfId="0" applyFill="1" applyBorder="1"/>
    <xf numFmtId="0" fontId="10" fillId="16" borderId="0" xfId="0" applyFont="1" applyFill="1" applyBorder="1"/>
    <xf numFmtId="0" fontId="57" fillId="0" borderId="0" xfId="0" applyFont="1" applyFill="1" applyBorder="1" applyAlignment="1">
      <alignment horizontal="left"/>
    </xf>
    <xf numFmtId="0" fontId="58" fillId="0" borderId="0" xfId="2" applyFont="1" applyAlignment="1" applyProtection="1"/>
    <xf numFmtId="0" fontId="57" fillId="0" borderId="0" xfId="0" applyFont="1" applyFill="1" applyBorder="1"/>
    <xf numFmtId="0" fontId="57" fillId="0" borderId="0" xfId="0" applyFont="1"/>
    <xf numFmtId="0" fontId="18" fillId="0" borderId="0" xfId="2" applyFont="1" applyAlignment="1" applyProtection="1"/>
    <xf numFmtId="0" fontId="18" fillId="0" borderId="0" xfId="0" applyFont="1" applyFill="1" applyBorder="1"/>
    <xf numFmtId="0" fontId="18" fillId="0" borderId="0" xfId="0" applyFont="1"/>
    <xf numFmtId="0" fontId="4" fillId="0" borderId="0" xfId="0" applyFont="1" applyBorder="1" applyAlignment="1"/>
    <xf numFmtId="3" fontId="23" fillId="0" borderId="1" xfId="0" applyNumberFormat="1" applyFont="1" applyBorder="1" applyAlignment="1">
      <alignment vertical="center"/>
    </xf>
    <xf numFmtId="0" fontId="32" fillId="0" borderId="5" xfId="0" applyFont="1" applyBorder="1" applyAlignment="1">
      <alignment horizontal="center"/>
    </xf>
    <xf numFmtId="0" fontId="18" fillId="0" borderId="0" xfId="0" applyFont="1" applyBorder="1" applyAlignment="1"/>
    <xf numFmtId="0" fontId="18" fillId="0" borderId="0" xfId="0" applyFont="1" applyBorder="1" applyAlignment="1">
      <alignment vertical="center"/>
    </xf>
    <xf numFmtId="17" fontId="35" fillId="0" borderId="3" xfId="0" applyNumberFormat="1" applyFont="1" applyBorder="1" applyAlignment="1" applyProtection="1">
      <alignment horizontal="center" vertical="center"/>
      <protection locked="0"/>
    </xf>
    <xf numFmtId="1" fontId="2" fillId="0" borderId="0" xfId="0" applyNumberFormat="1" applyFont="1" applyBorder="1" applyAlignment="1">
      <alignment vertical="center"/>
    </xf>
    <xf numFmtId="0" fontId="10" fillId="0" borderId="32" xfId="0" applyFont="1" applyBorder="1"/>
    <xf numFmtId="3" fontId="23" fillId="0" borderId="0" xfId="0" applyNumberFormat="1" applyFont="1" applyBorder="1" applyAlignment="1">
      <alignment vertical="center"/>
    </xf>
    <xf numFmtId="0" fontId="4" fillId="0" borderId="0" xfId="0" applyFont="1" applyBorder="1" applyAlignment="1">
      <alignment vertical="center"/>
    </xf>
    <xf numFmtId="4" fontId="23" fillId="0" borderId="0" xfId="3" applyNumberFormat="1" applyFont="1" applyFill="1" applyBorder="1" applyAlignment="1">
      <alignment horizontal="right"/>
    </xf>
    <xf numFmtId="0" fontId="53" fillId="0" borderId="0" xfId="0" applyFont="1" applyFill="1" applyBorder="1" applyAlignment="1"/>
    <xf numFmtId="0" fontId="57" fillId="0" borderId="0" xfId="0" applyFont="1" applyFill="1" applyBorder="1" applyAlignment="1"/>
    <xf numFmtId="176" fontId="10" fillId="0" borderId="0" xfId="0" applyNumberFormat="1" applyFont="1" applyBorder="1" applyAlignment="1">
      <alignment vertical="center"/>
    </xf>
    <xf numFmtId="176" fontId="10" fillId="0" borderId="14" xfId="0" applyNumberFormat="1" applyFont="1" applyBorder="1" applyAlignment="1">
      <alignmen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0" fillId="0" borderId="32" xfId="0" applyFill="1" applyBorder="1"/>
    <xf numFmtId="0" fontId="0" fillId="0" borderId="18" xfId="0" applyFill="1" applyBorder="1"/>
    <xf numFmtId="0" fontId="0" fillId="0" borderId="1" xfId="0" applyFill="1" applyBorder="1"/>
    <xf numFmtId="178" fontId="0" fillId="0" borderId="0" xfId="0" applyNumberFormat="1" applyFill="1" applyBorder="1"/>
    <xf numFmtId="0" fontId="0" fillId="0" borderId="14" xfId="0" applyFill="1" applyBorder="1"/>
    <xf numFmtId="0" fontId="42" fillId="0" borderId="0" xfId="0" applyFont="1" applyFill="1" applyBorder="1" applyAlignment="1"/>
    <xf numFmtId="180" fontId="0" fillId="0" borderId="0" xfId="3" applyNumberFormat="1" applyFont="1" applyAlignment="1"/>
    <xf numFmtId="0" fontId="0" fillId="0" borderId="32" xfId="0" applyBorder="1" applyProtection="1"/>
    <xf numFmtId="0" fontId="0" fillId="0" borderId="33" xfId="0" applyBorder="1" applyProtection="1"/>
    <xf numFmtId="0" fontId="18" fillId="0" borderId="32" xfId="0" applyFont="1" applyBorder="1" applyProtection="1"/>
    <xf numFmtId="0" fontId="18" fillId="0" borderId="33" xfId="0" applyFont="1" applyBorder="1" applyProtection="1"/>
    <xf numFmtId="0" fontId="18" fillId="0" borderId="32" xfId="0" applyFont="1" applyFill="1" applyBorder="1" applyAlignment="1" applyProtection="1">
      <alignment horizontal="left"/>
    </xf>
    <xf numFmtId="0" fontId="0" fillId="0" borderId="32" xfId="0" applyFill="1" applyBorder="1" applyProtection="1"/>
    <xf numFmtId="0" fontId="18" fillId="0" borderId="14" xfId="0" applyFont="1" applyBorder="1" applyProtection="1"/>
    <xf numFmtId="0" fontId="18" fillId="0" borderId="17" xfId="0" applyFont="1" applyBorder="1" applyProtection="1"/>
    <xf numFmtId="0" fontId="0" fillId="0" borderId="0" xfId="0" applyFont="1" applyBorder="1"/>
    <xf numFmtId="0" fontId="63" fillId="0" borderId="0" xfId="0" applyFont="1" applyBorder="1"/>
    <xf numFmtId="0" fontId="64" fillId="0" borderId="0" xfId="0" applyFont="1" applyFill="1"/>
    <xf numFmtId="0" fontId="57" fillId="0" borderId="0" xfId="0" applyFont="1" applyBorder="1"/>
    <xf numFmtId="0" fontId="57" fillId="0" borderId="20" xfId="0" applyFont="1" applyBorder="1"/>
    <xf numFmtId="4" fontId="35" fillId="0" borderId="0" xfId="0" applyNumberFormat="1" applyFont="1" applyFill="1" applyBorder="1" applyAlignment="1" applyProtection="1">
      <alignment vertical="center"/>
      <protection locked="0"/>
    </xf>
    <xf numFmtId="0" fontId="35" fillId="0" borderId="0" xfId="0" applyFont="1" applyFill="1" applyBorder="1" applyAlignment="1" applyProtection="1">
      <alignment vertical="center"/>
      <protection locked="0"/>
    </xf>
    <xf numFmtId="0" fontId="57" fillId="0" borderId="0" xfId="0" applyFont="1" applyAlignment="1">
      <alignment vertical="center"/>
    </xf>
    <xf numFmtId="0" fontId="53" fillId="0" borderId="0" xfId="0" applyFont="1" applyFill="1" applyBorder="1"/>
    <xf numFmtId="0" fontId="53" fillId="0" borderId="0" xfId="0" applyFont="1" applyFill="1" applyBorder="1" applyAlignment="1">
      <alignment horizontal="right"/>
    </xf>
    <xf numFmtId="0" fontId="18" fillId="0" borderId="0" xfId="0" applyFont="1" applyFill="1" applyBorder="1" applyAlignment="1" applyProtection="1">
      <alignment vertical="center"/>
      <protection locked="0"/>
    </xf>
    <xf numFmtId="0" fontId="53" fillId="0" borderId="0" xfId="0" applyFont="1" applyFill="1" applyBorder="1" applyAlignment="1">
      <alignment horizontal="left"/>
    </xf>
    <xf numFmtId="0" fontId="58" fillId="0" borderId="0" xfId="2" applyFont="1" applyBorder="1" applyAlignment="1" applyProtection="1"/>
    <xf numFmtId="0" fontId="24" fillId="0" borderId="0" xfId="2" applyFill="1" applyAlignment="1" applyProtection="1">
      <alignment horizontal="center"/>
    </xf>
    <xf numFmtId="0" fontId="59" fillId="0" borderId="0" xfId="2" applyFont="1" applyBorder="1" applyAlignment="1" applyProtection="1"/>
    <xf numFmtId="0" fontId="18" fillId="0" borderId="0" xfId="2" applyFont="1" applyBorder="1" applyAlignment="1" applyProtection="1"/>
    <xf numFmtId="0" fontId="2" fillId="2" borderId="32" xfId="0" applyFont="1" applyFill="1" applyBorder="1" applyAlignment="1"/>
    <xf numFmtId="0" fontId="2" fillId="0" borderId="32" xfId="0" applyFont="1" applyFill="1" applyBorder="1" applyAlignment="1"/>
    <xf numFmtId="0" fontId="23" fillId="6" borderId="10" xfId="0" applyFont="1" applyFill="1" applyBorder="1"/>
    <xf numFmtId="0" fontId="23" fillId="6" borderId="8" xfId="0" applyFont="1" applyFill="1" applyBorder="1"/>
    <xf numFmtId="0" fontId="23" fillId="6" borderId="8" xfId="0" applyFont="1" applyFill="1" applyBorder="1" applyAlignment="1">
      <alignment horizontal="right"/>
    </xf>
    <xf numFmtId="0" fontId="4" fillId="6" borderId="9" xfId="0" applyFont="1" applyFill="1" applyBorder="1" applyAlignment="1" applyProtection="1">
      <alignment vertical="center"/>
      <protection locked="0"/>
    </xf>
    <xf numFmtId="0" fontId="0" fillId="6" borderId="8" xfId="0" applyFill="1" applyBorder="1"/>
    <xf numFmtId="0" fontId="10" fillId="6" borderId="9" xfId="0" applyFont="1" applyFill="1" applyBorder="1"/>
    <xf numFmtId="0" fontId="10" fillId="6" borderId="8" xfId="0" applyFont="1" applyFill="1" applyBorder="1"/>
    <xf numFmtId="0" fontId="23" fillId="0" borderId="32" xfId="0" applyFont="1" applyFill="1" applyBorder="1" applyAlignment="1">
      <alignment vertical="center" wrapText="1"/>
    </xf>
    <xf numFmtId="0" fontId="23" fillId="6" borderId="8" xfId="0" applyFont="1" applyFill="1" applyBorder="1" applyAlignment="1">
      <alignment vertical="center"/>
    </xf>
    <xf numFmtId="4" fontId="2" fillId="0" borderId="0" xfId="0" applyNumberFormat="1" applyFont="1" applyFill="1" applyBorder="1" applyAlignment="1" applyProtection="1">
      <alignment vertical="center"/>
      <protection locked="0"/>
    </xf>
    <xf numFmtId="0" fontId="2" fillId="16" borderId="0" xfId="0" applyFont="1" applyFill="1" applyBorder="1" applyAlignment="1" applyProtection="1">
      <alignment vertical="center"/>
      <protection locked="0"/>
    </xf>
    <xf numFmtId="0" fontId="10" fillId="0" borderId="0" xfId="0" applyFont="1" applyFill="1" applyBorder="1" applyAlignment="1">
      <alignment vertical="center"/>
    </xf>
    <xf numFmtId="0" fontId="23" fillId="0" borderId="32" xfId="0" applyFont="1" applyFill="1" applyBorder="1" applyAlignment="1">
      <alignment vertical="center"/>
    </xf>
    <xf numFmtId="0" fontId="23" fillId="0" borderId="14" xfId="0" applyFont="1" applyFill="1" applyBorder="1" applyAlignment="1">
      <alignment vertical="center" wrapText="1"/>
    </xf>
    <xf numFmtId="0" fontId="10" fillId="0" borderId="32" xfId="0" applyFont="1" applyFill="1" applyBorder="1" applyAlignment="1">
      <alignment vertical="center" wrapText="1"/>
    </xf>
    <xf numFmtId="43" fontId="2" fillId="0" borderId="32" xfId="3" applyFont="1" applyFill="1" applyBorder="1" applyAlignment="1"/>
    <xf numFmtId="43" fontId="2" fillId="0" borderId="32" xfId="0" applyNumberFormat="1" applyFont="1" applyFill="1" applyBorder="1" applyAlignment="1"/>
    <xf numFmtId="182" fontId="2" fillId="2" borderId="32" xfId="3" applyNumberFormat="1" applyFont="1" applyFill="1" applyBorder="1" applyAlignment="1"/>
    <xf numFmtId="0" fontId="10" fillId="6" borderId="9" xfId="0" applyFont="1" applyFill="1" applyBorder="1" applyAlignment="1">
      <alignment horizontal="left"/>
    </xf>
    <xf numFmtId="0" fontId="62" fillId="0" borderId="0" xfId="0" applyFont="1" applyFill="1" applyBorder="1" applyAlignment="1"/>
    <xf numFmtId="0" fontId="0" fillId="0" borderId="0" xfId="0" applyFont="1" applyFill="1"/>
    <xf numFmtId="0" fontId="21" fillId="0" borderId="0" xfId="0" applyFont="1" applyFill="1" applyBorder="1"/>
    <xf numFmtId="0" fontId="61" fillId="0" borderId="0" xfId="0" applyFont="1" applyFill="1" applyBorder="1" applyAlignment="1"/>
    <xf numFmtId="3" fontId="0" fillId="2" borderId="6" xfId="0" applyNumberFormat="1" applyFill="1" applyBorder="1" applyAlignment="1">
      <alignment horizontal="center"/>
    </xf>
    <xf numFmtId="14" fontId="21" fillId="0" borderId="37" xfId="0" applyNumberFormat="1" applyFont="1" applyFill="1" applyBorder="1" applyAlignment="1">
      <alignment horizontal="center"/>
    </xf>
    <xf numFmtId="3" fontId="21" fillId="0" borderId="47" xfId="3" applyNumberFormat="1" applyFont="1" applyFill="1" applyBorder="1" applyAlignment="1">
      <alignment horizontal="center"/>
    </xf>
    <xf numFmtId="0" fontId="0" fillId="7" borderId="32" xfId="0" applyFill="1" applyBorder="1"/>
    <xf numFmtId="0" fontId="0" fillId="7" borderId="33" xfId="0" applyFill="1" applyBorder="1"/>
    <xf numFmtId="169" fontId="0" fillId="7" borderId="14" xfId="0" applyNumberFormat="1" applyFill="1" applyBorder="1"/>
    <xf numFmtId="0" fontId="0" fillId="7" borderId="1" xfId="0" applyFill="1" applyBorder="1"/>
    <xf numFmtId="0" fontId="0" fillId="7" borderId="17" xfId="0" applyFill="1" applyBorder="1"/>
    <xf numFmtId="0" fontId="18" fillId="0" borderId="0" xfId="0" applyFont="1" applyAlignment="1">
      <alignment vertical="center"/>
    </xf>
    <xf numFmtId="1" fontId="18" fillId="0" borderId="0" xfId="0" applyNumberFormat="1" applyFont="1" applyBorder="1" applyAlignment="1">
      <alignment vertical="center"/>
    </xf>
    <xf numFmtId="0" fontId="18" fillId="0" borderId="0" xfId="0" applyFont="1" applyFill="1" applyBorder="1" applyAlignment="1">
      <alignment vertical="center"/>
    </xf>
    <xf numFmtId="169" fontId="0" fillId="0" borderId="14" xfId="0" applyNumberFormat="1" applyBorder="1"/>
    <xf numFmtId="0" fontId="24" fillId="0" borderId="0" xfId="2" applyFill="1" applyBorder="1" applyAlignment="1" applyProtection="1"/>
    <xf numFmtId="3" fontId="0" fillId="0" borderId="0" xfId="0" applyNumberFormat="1" applyFill="1" applyBorder="1"/>
    <xf numFmtId="3" fontId="0" fillId="0" borderId="0" xfId="0" applyNumberFormat="1" applyFont="1" applyFill="1" applyBorder="1"/>
    <xf numFmtId="0" fontId="2" fillId="0" borderId="20" xfId="0" applyFont="1" applyBorder="1" applyAlignment="1">
      <alignment horizontal="left" vertical="center"/>
    </xf>
    <xf numFmtId="170" fontId="2" fillId="0" borderId="0" xfId="0" applyNumberFormat="1" applyFont="1" applyBorder="1" applyAlignment="1">
      <alignment vertical="center"/>
    </xf>
    <xf numFmtId="0" fontId="18" fillId="0" borderId="0" xfId="0" applyFont="1" applyBorder="1" applyAlignment="1" applyProtection="1">
      <alignment vertical="center"/>
      <protection locked="0"/>
    </xf>
    <xf numFmtId="0" fontId="0" fillId="0" borderId="0" xfId="0" applyFont="1" applyBorder="1" applyAlignment="1">
      <alignment vertical="center"/>
    </xf>
    <xf numFmtId="3" fontId="18" fillId="0" borderId="0" xfId="0" applyNumberFormat="1" applyFont="1" applyBorder="1" applyAlignment="1">
      <alignment vertical="center"/>
    </xf>
    <xf numFmtId="0" fontId="0" fillId="0" borderId="0" xfId="0" applyFont="1" applyBorder="1" applyAlignment="1">
      <alignment horizontal="right" vertical="center"/>
    </xf>
    <xf numFmtId="0" fontId="18" fillId="0" borderId="0" xfId="0" applyFont="1" applyBorder="1"/>
    <xf numFmtId="0" fontId="69" fillId="0" borderId="0" xfId="0" applyFont="1" applyBorder="1" applyAlignment="1" applyProtection="1">
      <alignment vertical="center"/>
      <protection locked="0"/>
    </xf>
    <xf numFmtId="0" fontId="48" fillId="16" borderId="0" xfId="0" applyFont="1" applyFill="1" applyBorder="1"/>
    <xf numFmtId="0" fontId="10" fillId="16" borderId="0" xfId="0" applyFont="1" applyFill="1" applyBorder="1" applyAlignment="1">
      <alignment vertical="center"/>
    </xf>
    <xf numFmtId="171" fontId="10" fillId="0" borderId="0" xfId="0" applyNumberFormat="1" applyFont="1" applyFill="1" applyBorder="1"/>
    <xf numFmtId="0" fontId="48" fillId="0" borderId="0" xfId="0" applyFont="1" applyBorder="1"/>
    <xf numFmtId="176" fontId="10" fillId="0" borderId="32" xfId="0" applyNumberFormat="1" applyFont="1" applyBorder="1" applyAlignment="1">
      <alignment vertical="center"/>
    </xf>
    <xf numFmtId="0" fontId="10" fillId="9" borderId="8" xfId="0" applyFont="1" applyFill="1" applyBorder="1" applyAlignment="1">
      <alignment vertical="center"/>
    </xf>
    <xf numFmtId="0" fontId="0" fillId="9" borderId="9" xfId="0" applyFill="1" applyBorder="1"/>
    <xf numFmtId="4" fontId="48" fillId="0" borderId="0" xfId="0" applyNumberFormat="1" applyFont="1" applyFill="1" applyBorder="1"/>
    <xf numFmtId="3" fontId="48" fillId="2" borderId="33" xfId="0" applyNumberFormat="1" applyFont="1" applyFill="1" applyBorder="1" applyAlignment="1">
      <alignment horizontal="right"/>
    </xf>
    <xf numFmtId="3" fontId="48" fillId="0" borderId="33" xfId="0" applyNumberFormat="1" applyFont="1" applyFill="1" applyBorder="1" applyAlignment="1">
      <alignment horizontal="right"/>
    </xf>
    <xf numFmtId="0" fontId="23" fillId="9" borderId="10" xfId="0" applyFont="1" applyFill="1" applyBorder="1"/>
    <xf numFmtId="0" fontId="23" fillId="9" borderId="8" xfId="0" applyFont="1" applyFill="1" applyBorder="1"/>
    <xf numFmtId="0" fontId="23" fillId="9" borderId="8" xfId="0" applyFont="1" applyFill="1" applyBorder="1" applyAlignment="1">
      <alignment horizontal="right"/>
    </xf>
    <xf numFmtId="4" fontId="4" fillId="9" borderId="8" xfId="0" applyNumberFormat="1" applyFont="1" applyFill="1" applyBorder="1" applyAlignment="1" applyProtection="1">
      <alignment vertical="center"/>
      <protection locked="0"/>
    </xf>
    <xf numFmtId="0" fontId="4" fillId="9" borderId="9" xfId="0" applyFont="1" applyFill="1" applyBorder="1" applyAlignment="1" applyProtection="1">
      <alignment vertical="center"/>
      <protection locked="0"/>
    </xf>
    <xf numFmtId="0" fontId="10" fillId="0" borderId="25" xfId="0" applyFont="1" applyBorder="1"/>
    <xf numFmtId="0" fontId="10" fillId="0" borderId="33" xfId="0" applyFont="1" applyBorder="1"/>
    <xf numFmtId="0" fontId="48" fillId="0" borderId="33" xfId="0" applyFont="1" applyBorder="1"/>
    <xf numFmtId="17" fontId="4" fillId="0" borderId="0" xfId="0" applyNumberFormat="1" applyFont="1" applyBorder="1" applyAlignment="1" applyProtection="1">
      <alignment horizontal="right" vertical="top"/>
      <protection locked="0"/>
    </xf>
    <xf numFmtId="3" fontId="23" fillId="0" borderId="0" xfId="0" applyNumberFormat="1" applyFont="1" applyBorder="1" applyAlignment="1" applyProtection="1">
      <alignment horizontal="right"/>
    </xf>
    <xf numFmtId="0" fontId="23" fillId="0" borderId="0" xfId="0" applyFont="1" applyBorder="1" applyAlignment="1">
      <alignment horizontal="right"/>
    </xf>
    <xf numFmtId="176" fontId="70" fillId="0" borderId="0" xfId="0" applyNumberFormat="1" applyFont="1" applyBorder="1" applyAlignment="1">
      <alignment horizontal="right"/>
    </xf>
    <xf numFmtId="3" fontId="4" fillId="0" borderId="0" xfId="0" applyNumberFormat="1" applyFont="1" applyBorder="1" applyAlignment="1" applyProtection="1">
      <alignment horizontal="right" vertical="top"/>
    </xf>
    <xf numFmtId="0" fontId="4" fillId="0" borderId="0" xfId="0" applyFont="1" applyBorder="1" applyAlignment="1" applyProtection="1">
      <alignment horizontal="right" vertical="top"/>
      <protection locked="0"/>
    </xf>
    <xf numFmtId="176" fontId="23" fillId="0" borderId="0" xfId="0" applyNumberFormat="1" applyFont="1" applyBorder="1" applyAlignment="1">
      <alignment horizontal="right"/>
    </xf>
    <xf numFmtId="0" fontId="21" fillId="0" borderId="12" xfId="0" applyFont="1" applyFill="1" applyBorder="1"/>
    <xf numFmtId="4" fontId="4" fillId="9" borderId="10" xfId="0" applyNumberFormat="1" applyFont="1" applyFill="1" applyBorder="1"/>
    <xf numFmtId="0" fontId="4" fillId="9" borderId="8" xfId="0" applyFont="1" applyFill="1" applyBorder="1"/>
    <xf numFmtId="0" fontId="4" fillId="6" borderId="8" xfId="0" applyFont="1" applyFill="1" applyBorder="1"/>
    <xf numFmtId="0" fontId="21" fillId="6" borderId="9" xfId="0" applyFont="1" applyFill="1" applyBorder="1"/>
    <xf numFmtId="0" fontId="48" fillId="2" borderId="20" xfId="0" applyFont="1" applyFill="1" applyBorder="1"/>
    <xf numFmtId="0" fontId="4" fillId="0" borderId="0" xfId="0" applyFont="1" applyFill="1" applyBorder="1" applyAlignment="1">
      <alignment vertical="center"/>
    </xf>
    <xf numFmtId="0" fontId="48" fillId="0" borderId="0" xfId="0" applyFont="1" applyFill="1" applyBorder="1"/>
    <xf numFmtId="0" fontId="10" fillId="0" borderId="14" xfId="0" applyFont="1" applyBorder="1"/>
    <xf numFmtId="2" fontId="10" fillId="0" borderId="32" xfId="0" applyNumberFormat="1" applyFont="1" applyBorder="1"/>
    <xf numFmtId="0" fontId="48" fillId="0" borderId="32" xfId="0" applyFont="1" applyBorder="1"/>
    <xf numFmtId="0" fontId="48" fillId="0" borderId="1" xfId="0" applyFont="1" applyBorder="1"/>
    <xf numFmtId="0" fontId="21" fillId="6" borderId="8" xfId="0" applyFont="1" applyFill="1" applyBorder="1"/>
    <xf numFmtId="0" fontId="48" fillId="0" borderId="17" xfId="0" applyFont="1" applyBorder="1"/>
    <xf numFmtId="0" fontId="48" fillId="0" borderId="18" xfId="0" applyFont="1" applyBorder="1"/>
    <xf numFmtId="0" fontId="48" fillId="0" borderId="25" xfId="0" applyFont="1" applyBorder="1"/>
    <xf numFmtId="16" fontId="0" fillId="0" borderId="6" xfId="0" quotePrefix="1" applyNumberFormat="1" applyBorder="1"/>
    <xf numFmtId="16" fontId="0" fillId="0" borderId="6" xfId="0" applyNumberFormat="1" applyBorder="1"/>
    <xf numFmtId="0" fontId="0" fillId="0" borderId="6" xfId="0" applyBorder="1"/>
    <xf numFmtId="16" fontId="0" fillId="0" borderId="3" xfId="0" applyNumberFormat="1" applyBorder="1"/>
    <xf numFmtId="0" fontId="0" fillId="0" borderId="3" xfId="0" applyBorder="1"/>
    <xf numFmtId="0" fontId="0" fillId="8" borderId="0" xfId="0" applyFill="1" applyAlignment="1">
      <alignment horizontal="center"/>
    </xf>
    <xf numFmtId="0" fontId="0" fillId="8" borderId="0" xfId="0" applyFill="1" applyAlignment="1"/>
    <xf numFmtId="168" fontId="4" fillId="0" borderId="0" xfId="0" applyNumberFormat="1" applyFont="1" applyBorder="1" applyAlignment="1" applyProtection="1">
      <alignment vertical="top"/>
      <protection locked="0"/>
    </xf>
    <xf numFmtId="0" fontId="2" fillId="0" borderId="12" xfId="0" applyFont="1" applyBorder="1" applyAlignment="1" applyProtection="1">
      <alignment vertical="center"/>
      <protection locked="0"/>
    </xf>
    <xf numFmtId="4" fontId="2" fillId="0" borderId="12" xfId="0" applyNumberFormat="1" applyFont="1" applyBorder="1" applyAlignment="1">
      <alignment vertical="center"/>
    </xf>
    <xf numFmtId="4" fontId="14" fillId="0" borderId="25" xfId="0" applyNumberFormat="1" applyFont="1" applyBorder="1" applyAlignment="1">
      <alignment vertical="center"/>
    </xf>
    <xf numFmtId="0" fontId="14" fillId="0" borderId="25" xfId="0" applyFont="1" applyBorder="1" applyAlignment="1">
      <alignment vertical="center"/>
    </xf>
    <xf numFmtId="0" fontId="2" fillId="0" borderId="25" xfId="0" applyFont="1" applyBorder="1" applyAlignment="1" applyProtection="1">
      <alignment vertical="center"/>
      <protection locked="0"/>
    </xf>
    <xf numFmtId="0" fontId="58" fillId="0" borderId="20" xfId="2" applyFont="1" applyBorder="1" applyAlignment="1" applyProtection="1">
      <alignment horizontal="left"/>
    </xf>
    <xf numFmtId="0" fontId="35" fillId="0" borderId="0" xfId="0" applyFont="1" applyFill="1" applyBorder="1" applyAlignment="1" applyProtection="1">
      <alignment horizontal="right" vertical="top"/>
      <protection locked="0"/>
    </xf>
    <xf numFmtId="4" fontId="18" fillId="0" borderId="0" xfId="0" applyNumberFormat="1" applyFont="1" applyFill="1" applyBorder="1"/>
    <xf numFmtId="0" fontId="18" fillId="0" borderId="20" xfId="0" applyFont="1" applyBorder="1" applyAlignment="1">
      <alignment horizontal="left"/>
    </xf>
    <xf numFmtId="0" fontId="35" fillId="0" borderId="0" xfId="0" applyFont="1" applyBorder="1"/>
    <xf numFmtId="4" fontId="35" fillId="0" borderId="0" xfId="0" applyNumberFormat="1" applyFont="1" applyFill="1" applyBorder="1"/>
    <xf numFmtId="0" fontId="18" fillId="0" borderId="20" xfId="0" applyFont="1" applyBorder="1"/>
    <xf numFmtId="0" fontId="18" fillId="0" borderId="23" xfId="0" applyFont="1" applyBorder="1" applyAlignment="1">
      <alignment horizontal="right"/>
    </xf>
    <xf numFmtId="0" fontId="18" fillId="0" borderId="16" xfId="0" applyFont="1" applyBorder="1"/>
    <xf numFmtId="0" fontId="35" fillId="0" borderId="16" xfId="0" applyFont="1" applyFill="1" applyBorder="1" applyAlignment="1" applyProtection="1">
      <alignment horizontal="right" vertical="top"/>
      <protection locked="0"/>
    </xf>
    <xf numFmtId="4" fontId="18" fillId="0" borderId="16" xfId="0" applyNumberFormat="1" applyFont="1" applyFill="1" applyBorder="1"/>
    <xf numFmtId="0" fontId="0" fillId="0" borderId="0" xfId="0" applyFont="1" applyBorder="1" applyAlignment="1"/>
    <xf numFmtId="3" fontId="35" fillId="0" borderId="25" xfId="0" applyNumberFormat="1" applyFont="1" applyBorder="1"/>
    <xf numFmtId="0" fontId="35" fillId="0" borderId="25" xfId="0" applyFont="1" applyBorder="1" applyAlignment="1" applyProtection="1">
      <alignment vertical="top"/>
      <protection locked="0"/>
    </xf>
    <xf numFmtId="0" fontId="73" fillId="0" borderId="0" xfId="0" applyFont="1" applyBorder="1"/>
    <xf numFmtId="0" fontId="18" fillId="0" borderId="0" xfId="0" applyFont="1" applyBorder="1" applyAlignment="1" applyProtection="1">
      <alignment vertical="top"/>
      <protection locked="0"/>
    </xf>
    <xf numFmtId="1" fontId="18" fillId="0" borderId="0" xfId="0" applyNumberFormat="1" applyFont="1" applyBorder="1"/>
    <xf numFmtId="0" fontId="18" fillId="0" borderId="25" xfId="0" applyFont="1" applyBorder="1"/>
    <xf numFmtId="0" fontId="73" fillId="0" borderId="0" xfId="0" applyFont="1" applyFill="1" applyBorder="1"/>
    <xf numFmtId="0" fontId="43" fillId="0" borderId="0" xfId="0" applyFont="1" applyFill="1" applyBorder="1" applyAlignment="1">
      <alignment vertical="center"/>
    </xf>
    <xf numFmtId="3" fontId="35" fillId="0" borderId="0" xfId="0" applyNumberFormat="1" applyFont="1" applyBorder="1"/>
    <xf numFmtId="0" fontId="35" fillId="0" borderId="0" xfId="0" applyFont="1" applyBorder="1" applyAlignment="1" applyProtection="1">
      <alignment vertical="top"/>
      <protection locked="0"/>
    </xf>
    <xf numFmtId="4" fontId="35" fillId="0" borderId="0" xfId="0" applyNumberFormat="1" applyFont="1" applyFill="1" applyBorder="1" applyAlignment="1" applyProtection="1">
      <alignment vertical="top"/>
      <protection locked="0"/>
    </xf>
    <xf numFmtId="0" fontId="35" fillId="0" borderId="0" xfId="0" applyFont="1" applyFill="1" applyBorder="1"/>
    <xf numFmtId="0" fontId="18" fillId="0" borderId="16" xfId="0" applyFont="1" applyFill="1" applyBorder="1"/>
    <xf numFmtId="0" fontId="61" fillId="12" borderId="10" xfId="0" applyFont="1" applyFill="1" applyBorder="1" applyAlignment="1"/>
    <xf numFmtId="0" fontId="61" fillId="12" borderId="8" xfId="0" applyFont="1" applyFill="1" applyBorder="1" applyAlignment="1"/>
    <xf numFmtId="0" fontId="2" fillId="12" borderId="8" xfId="0" applyFont="1" applyFill="1" applyBorder="1" applyAlignment="1" applyProtection="1">
      <alignment vertical="top"/>
      <protection locked="0"/>
    </xf>
    <xf numFmtId="0" fontId="2" fillId="12" borderId="8" xfId="0" applyFont="1" applyFill="1" applyBorder="1"/>
    <xf numFmtId="0" fontId="2" fillId="12" borderId="9" xfId="0" applyFont="1" applyFill="1" applyBorder="1"/>
    <xf numFmtId="0" fontId="61" fillId="12" borderId="45" xfId="0" applyFont="1" applyFill="1" applyBorder="1" applyAlignment="1"/>
    <xf numFmtId="0" fontId="61" fillId="0" borderId="13" xfId="0" applyFont="1" applyFill="1" applyBorder="1" applyAlignment="1"/>
    <xf numFmtId="0" fontId="60" fillId="0" borderId="20" xfId="0" applyFont="1" applyBorder="1"/>
    <xf numFmtId="0" fontId="2" fillId="0" borderId="0" xfId="0" applyFont="1" applyFill="1" applyBorder="1" applyAlignment="1" applyProtection="1">
      <alignment vertical="top"/>
      <protection locked="0"/>
    </xf>
    <xf numFmtId="0" fontId="60" fillId="0" borderId="20" xfId="0" applyFont="1" applyFill="1" applyBorder="1" applyAlignment="1"/>
    <xf numFmtId="169" fontId="60" fillId="0" borderId="20" xfId="0" applyNumberFormat="1" applyFont="1" applyBorder="1"/>
    <xf numFmtId="168" fontId="74" fillId="0" borderId="0" xfId="0" applyNumberFormat="1" applyFont="1" applyBorder="1" applyAlignment="1" applyProtection="1">
      <alignment vertical="top"/>
      <protection locked="0"/>
    </xf>
    <xf numFmtId="169" fontId="18" fillId="0" borderId="16" xfId="0" applyNumberFormat="1" applyFont="1" applyFill="1" applyBorder="1" applyAlignment="1">
      <alignment horizontal="right"/>
    </xf>
    <xf numFmtId="0" fontId="18" fillId="0" borderId="16" xfId="0" applyFont="1" applyFill="1" applyBorder="1" applyAlignment="1">
      <alignment horizontal="left"/>
    </xf>
    <xf numFmtId="168" fontId="74" fillId="0" borderId="16" xfId="0" applyNumberFormat="1" applyFont="1" applyBorder="1" applyAlignment="1" applyProtection="1">
      <alignment vertical="top"/>
      <protection locked="0"/>
    </xf>
    <xf numFmtId="0" fontId="2" fillId="0" borderId="20" xfId="0" applyFont="1" applyFill="1" applyBorder="1"/>
    <xf numFmtId="169" fontId="18" fillId="0" borderId="0" xfId="0" applyNumberFormat="1" applyFont="1" applyBorder="1"/>
    <xf numFmtId="3" fontId="18" fillId="0" borderId="0" xfId="0" applyNumberFormat="1" applyFont="1" applyFill="1" applyBorder="1" applyAlignment="1">
      <alignment horizontal="center"/>
    </xf>
    <xf numFmtId="0" fontId="18" fillId="0" borderId="33" xfId="0" applyFont="1" applyBorder="1"/>
    <xf numFmtId="0" fontId="35" fillId="9" borderId="9" xfId="0" applyFont="1" applyFill="1" applyBorder="1"/>
    <xf numFmtId="0" fontId="73" fillId="0" borderId="20" xfId="0" applyFont="1" applyBorder="1"/>
    <xf numFmtId="169" fontId="18" fillId="0" borderId="32" xfId="0" applyNumberFormat="1" applyFont="1" applyBorder="1"/>
    <xf numFmtId="3" fontId="18" fillId="0" borderId="0" xfId="0" applyNumberFormat="1" applyFont="1" applyBorder="1"/>
    <xf numFmtId="0" fontId="18" fillId="0" borderId="17" xfId="0" applyFont="1" applyBorder="1"/>
    <xf numFmtId="2" fontId="18" fillId="0" borderId="0" xfId="0" applyNumberFormat="1" applyFont="1" applyBorder="1"/>
    <xf numFmtId="0" fontId="18" fillId="0" borderId="32" xfId="0" applyFont="1" applyBorder="1"/>
    <xf numFmtId="0" fontId="18" fillId="2" borderId="0" xfId="0" applyFont="1" applyFill="1" applyBorder="1"/>
    <xf numFmtId="4" fontId="18" fillId="0" borderId="2" xfId="0" applyNumberFormat="1" applyFont="1" applyBorder="1"/>
    <xf numFmtId="0" fontId="18" fillId="0" borderId="4" xfId="0" applyFont="1" applyBorder="1"/>
    <xf numFmtId="0" fontId="18" fillId="0" borderId="0" xfId="0" quotePrefix="1" applyFont="1" applyBorder="1"/>
    <xf numFmtId="4" fontId="18" fillId="0" borderId="0" xfId="0" applyNumberFormat="1" applyFont="1" applyBorder="1"/>
    <xf numFmtId="4" fontId="35" fillId="0" borderId="2" xfId="0" applyNumberFormat="1" applyFont="1" applyFill="1" applyBorder="1"/>
    <xf numFmtId="0" fontId="35" fillId="0" borderId="4" xfId="0" applyFont="1" applyFill="1" applyBorder="1"/>
    <xf numFmtId="0" fontId="34" fillId="6" borderId="9" xfId="0" applyFont="1" applyFill="1" applyBorder="1"/>
    <xf numFmtId="0" fontId="34" fillId="9" borderId="9" xfId="0" applyFont="1" applyFill="1" applyBorder="1"/>
    <xf numFmtId="0" fontId="0" fillId="9" borderId="8" xfId="0" applyFill="1" applyBorder="1"/>
    <xf numFmtId="0" fontId="21" fillId="9" borderId="8" xfId="0" applyFont="1" applyFill="1" applyBorder="1"/>
    <xf numFmtId="0" fontId="10" fillId="9" borderId="9" xfId="0" applyFont="1" applyFill="1" applyBorder="1"/>
    <xf numFmtId="43" fontId="4" fillId="9" borderId="10" xfId="0" applyNumberFormat="1" applyFont="1" applyFill="1" applyBorder="1"/>
    <xf numFmtId="43" fontId="70" fillId="9" borderId="10" xfId="0" applyNumberFormat="1" applyFont="1" applyFill="1" applyBorder="1"/>
    <xf numFmtId="0" fontId="70" fillId="9" borderId="8" xfId="0" applyFont="1" applyFill="1" applyBorder="1"/>
    <xf numFmtId="182" fontId="70" fillId="9" borderId="10" xfId="0" applyNumberFormat="1" applyFont="1" applyFill="1" applyBorder="1"/>
    <xf numFmtId="0" fontId="53" fillId="0" borderId="0" xfId="0" applyFont="1" applyFill="1" applyBorder="1" applyAlignment="1">
      <alignment horizontal="center"/>
    </xf>
    <xf numFmtId="0" fontId="21" fillId="0" borderId="0" xfId="0" applyFont="1" applyFill="1" applyBorder="1" applyAlignment="1">
      <alignment horizontal="right"/>
    </xf>
    <xf numFmtId="0" fontId="0" fillId="6" borderId="10" xfId="0" applyFill="1" applyBorder="1"/>
    <xf numFmtId="174" fontId="21" fillId="6" borderId="9" xfId="0" applyNumberFormat="1" applyFont="1" applyFill="1" applyBorder="1"/>
    <xf numFmtId="0" fontId="23" fillId="0" borderId="15" xfId="0" applyFont="1" applyBorder="1"/>
    <xf numFmtId="0" fontId="4" fillId="0" borderId="32" xfId="0" applyFont="1" applyFill="1" applyBorder="1"/>
    <xf numFmtId="0" fontId="66" fillId="0" borderId="0" xfId="2" applyFont="1" applyAlignment="1" applyProtection="1"/>
    <xf numFmtId="0" fontId="0" fillId="9" borderId="10" xfId="0" applyFill="1" applyBorder="1"/>
    <xf numFmtId="4" fontId="21" fillId="9" borderId="8" xfId="0" applyNumberFormat="1" applyFont="1" applyFill="1" applyBorder="1"/>
    <xf numFmtId="174" fontId="21" fillId="9" borderId="9" xfId="0" applyNumberFormat="1" applyFont="1" applyFill="1" applyBorder="1"/>
    <xf numFmtId="10" fontId="21" fillId="0" borderId="21" xfId="0" applyNumberFormat="1" applyFont="1" applyBorder="1"/>
    <xf numFmtId="0" fontId="21" fillId="0" borderId="0" xfId="0" applyFont="1" applyBorder="1" applyAlignment="1"/>
    <xf numFmtId="0" fontId="0" fillId="0" borderId="0" xfId="0"/>
    <xf numFmtId="0" fontId="0" fillId="0" borderId="0" xfId="0" applyFill="1" applyBorder="1"/>
    <xf numFmtId="0" fontId="0" fillId="0" borderId="20" xfId="0" applyFill="1" applyBorder="1"/>
    <xf numFmtId="0" fontId="38" fillId="0" borderId="0" xfId="0" applyFont="1" applyFill="1" applyBorder="1"/>
    <xf numFmtId="0" fontId="89" fillId="0" borderId="20" xfId="0" applyFont="1" applyFill="1" applyBorder="1"/>
    <xf numFmtId="0" fontId="21" fillId="0" borderId="21" xfId="0" applyFont="1" applyBorder="1" applyAlignment="1">
      <alignment horizontal="center" wrapText="1"/>
    </xf>
    <xf numFmtId="2" fontId="21" fillId="0" borderId="67" xfId="0" applyNumberFormat="1" applyFont="1" applyFill="1" applyBorder="1" applyAlignment="1">
      <alignment horizontal="center"/>
    </xf>
    <xf numFmtId="2" fontId="21" fillId="0" borderId="12" xfId="0" applyNumberFormat="1" applyFont="1" applyFill="1" applyBorder="1" applyAlignment="1">
      <alignment horizontal="center"/>
    </xf>
    <xf numFmtId="0" fontId="0" fillId="0" borderId="12" xfId="0" applyFont="1" applyFill="1" applyBorder="1"/>
    <xf numFmtId="0" fontId="0" fillId="0" borderId="20" xfId="0" applyFont="1" applyFill="1" applyBorder="1"/>
    <xf numFmtId="0" fontId="0" fillId="0" borderId="20" xfId="0" applyFont="1" applyFill="1" applyBorder="1" applyAlignment="1">
      <alignment horizontal="center"/>
    </xf>
    <xf numFmtId="0" fontId="0" fillId="0" borderId="0" xfId="0" applyFont="1" applyFill="1" applyBorder="1" applyAlignment="1">
      <alignment horizontal="center"/>
    </xf>
    <xf numFmtId="0" fontId="0" fillId="0" borderId="12" xfId="0" applyFont="1" applyFill="1" applyBorder="1" applyAlignment="1">
      <alignment horizontal="center"/>
    </xf>
    <xf numFmtId="0" fontId="0" fillId="0" borderId="23" xfId="0" applyFont="1" applyFill="1" applyBorder="1"/>
    <xf numFmtId="0" fontId="0" fillId="6" borderId="50" xfId="0" applyFont="1" applyFill="1" applyBorder="1"/>
    <xf numFmtId="0" fontId="0" fillId="6" borderId="9" xfId="0" applyFont="1" applyFill="1" applyBorder="1"/>
    <xf numFmtId="0" fontId="0" fillId="0" borderId="11" xfId="0" applyFont="1" applyFill="1" applyBorder="1"/>
    <xf numFmtId="171" fontId="57" fillId="0" borderId="20" xfId="0" applyNumberFormat="1" applyFont="1" applyFill="1" applyBorder="1"/>
    <xf numFmtId="3" fontId="57" fillId="10" borderId="0" xfId="0" applyNumberFormat="1" applyFont="1" applyFill="1" applyBorder="1"/>
    <xf numFmtId="171" fontId="57" fillId="0" borderId="0" xfId="0" applyNumberFormat="1" applyFont="1" applyFill="1" applyBorder="1"/>
    <xf numFmtId="178" fontId="18" fillId="0" borderId="0" xfId="0" applyNumberFormat="1" applyFont="1" applyFill="1" applyBorder="1"/>
    <xf numFmtId="171" fontId="18" fillId="0" borderId="0" xfId="0" applyNumberFormat="1" applyFont="1" applyFill="1" applyBorder="1"/>
    <xf numFmtId="3" fontId="18" fillId="0" borderId="0" xfId="0" applyNumberFormat="1" applyFont="1" applyFill="1" applyBorder="1" applyAlignment="1"/>
    <xf numFmtId="178" fontId="53" fillId="0" borderId="0" xfId="0" applyNumberFormat="1" applyFont="1" applyFill="1" applyBorder="1"/>
    <xf numFmtId="171" fontId="53" fillId="0" borderId="0" xfId="0" applyNumberFormat="1" applyFont="1" applyFill="1" applyBorder="1"/>
    <xf numFmtId="3" fontId="53" fillId="6" borderId="10" xfId="0" applyNumberFormat="1" applyFont="1" applyFill="1" applyBorder="1"/>
    <xf numFmtId="0" fontId="35" fillId="6" borderId="8" xfId="0" applyFont="1" applyFill="1" applyBorder="1"/>
    <xf numFmtId="0" fontId="0" fillId="0" borderId="20" xfId="0" applyFont="1" applyBorder="1"/>
    <xf numFmtId="0" fontId="0" fillId="0" borderId="23" xfId="0" applyFont="1" applyBorder="1"/>
    <xf numFmtId="0" fontId="35" fillId="0" borderId="6" xfId="0" applyFont="1" applyFill="1" applyBorder="1" applyAlignment="1">
      <alignment horizontal="center" vertical="center"/>
    </xf>
    <xf numFmtId="2" fontId="35" fillId="0" borderId="6" xfId="0" applyNumberFormat="1" applyFont="1" applyFill="1" applyBorder="1" applyAlignment="1">
      <alignment horizontal="center" vertical="center"/>
    </xf>
    <xf numFmtId="0" fontId="35" fillId="0" borderId="6" xfId="0" applyFont="1" applyFill="1" applyBorder="1" applyAlignment="1">
      <alignment horizontal="center" vertical="center" wrapText="1"/>
    </xf>
    <xf numFmtId="2" fontId="35" fillId="0" borderId="61" xfId="0" applyNumberFormat="1" applyFont="1" applyFill="1" applyBorder="1" applyAlignment="1">
      <alignment horizontal="center" vertical="center"/>
    </xf>
    <xf numFmtId="2" fontId="18" fillId="0" borderId="67" xfId="0" applyNumberFormat="1" applyFont="1" applyFill="1" applyBorder="1" applyAlignment="1">
      <alignment horizontal="center"/>
    </xf>
    <xf numFmtId="2" fontId="18" fillId="0" borderId="69" xfId="0" applyNumberFormat="1" applyFont="1" applyFill="1" applyBorder="1" applyAlignment="1">
      <alignment horizontal="center"/>
    </xf>
    <xf numFmtId="2" fontId="57" fillId="0" borderId="0" xfId="0" applyNumberFormat="1" applyFont="1" applyFill="1" applyBorder="1"/>
    <xf numFmtId="0" fontId="57" fillId="0" borderId="12" xfId="0" applyFont="1" applyFill="1" applyBorder="1" applyAlignment="1">
      <alignment horizontal="center"/>
    </xf>
    <xf numFmtId="0" fontId="0" fillId="6" borderId="8" xfId="0" applyFont="1" applyFill="1" applyBorder="1"/>
    <xf numFmtId="0" fontId="53" fillId="6" borderId="8" xfId="0" applyFont="1" applyFill="1" applyBorder="1"/>
    <xf numFmtId="0" fontId="53" fillId="6" borderId="9" xfId="0" applyFont="1" applyFill="1" applyBorder="1"/>
    <xf numFmtId="0" fontId="53" fillId="9" borderId="8" xfId="0" applyFont="1" applyFill="1" applyBorder="1"/>
    <xf numFmtId="0" fontId="53" fillId="9" borderId="9" xfId="0" applyFont="1" applyFill="1" applyBorder="1"/>
    <xf numFmtId="2" fontId="0" fillId="0" borderId="20" xfId="0" applyNumberFormat="1" applyBorder="1"/>
    <xf numFmtId="0" fontId="0" fillId="2" borderId="20" xfId="0" applyFill="1" applyBorder="1"/>
    <xf numFmtId="0" fontId="45" fillId="0" borderId="12" xfId="0" applyFont="1" applyBorder="1" applyAlignment="1">
      <alignment horizontal="left"/>
    </xf>
    <xf numFmtId="0" fontId="0" fillId="0" borderId="69" xfId="0" applyBorder="1"/>
    <xf numFmtId="0" fontId="46" fillId="6" borderId="11" xfId="0" applyFont="1" applyFill="1" applyBorder="1"/>
    <xf numFmtId="0" fontId="72" fillId="18" borderId="7" xfId="0" applyFont="1" applyFill="1" applyBorder="1" applyAlignment="1">
      <alignment horizontal="center" vertical="center"/>
    </xf>
    <xf numFmtId="3" fontId="0" fillId="2" borderId="20" xfId="0" applyNumberFormat="1" applyFill="1" applyBorder="1"/>
    <xf numFmtId="0" fontId="68" fillId="6" borderId="9" xfId="0" applyFont="1" applyFill="1" applyBorder="1"/>
    <xf numFmtId="2" fontId="21" fillId="9" borderId="10" xfId="0" applyNumberFormat="1" applyFont="1" applyFill="1" applyBorder="1"/>
    <xf numFmtId="0" fontId="46" fillId="6" borderId="9" xfId="0" applyFont="1" applyFill="1" applyBorder="1"/>
    <xf numFmtId="0" fontId="54" fillId="0" borderId="0" xfId="0" applyFont="1" applyFill="1" applyBorder="1" applyAlignment="1"/>
    <xf numFmtId="3" fontId="53" fillId="13" borderId="10" xfId="0" applyNumberFormat="1" applyFont="1" applyFill="1" applyBorder="1"/>
    <xf numFmtId="2" fontId="0" fillId="0" borderId="20" xfId="0" applyNumberFormat="1" applyFont="1" applyBorder="1"/>
    <xf numFmtId="3" fontId="0" fillId="0" borderId="20" xfId="0" applyNumberFormat="1" applyFont="1" applyBorder="1"/>
    <xf numFmtId="3" fontId="53" fillId="0" borderId="20" xfId="0" applyNumberFormat="1" applyFont="1" applyFill="1" applyBorder="1"/>
    <xf numFmtId="180" fontId="0" fillId="0" borderId="0" xfId="3" applyNumberFormat="1" applyFont="1" applyBorder="1" applyAlignment="1"/>
    <xf numFmtId="0" fontId="0" fillId="0" borderId="0" xfId="0"/>
    <xf numFmtId="0" fontId="10" fillId="0" borderId="19" xfId="0" applyFont="1" applyBorder="1"/>
    <xf numFmtId="0" fontId="10" fillId="0" borderId="13" xfId="0" applyFont="1" applyBorder="1"/>
    <xf numFmtId="3" fontId="23" fillId="0" borderId="13" xfId="0" applyNumberFormat="1" applyFont="1" applyBorder="1"/>
    <xf numFmtId="0" fontId="4" fillId="0" borderId="13" xfId="0" applyFont="1" applyBorder="1" applyAlignment="1" applyProtection="1">
      <alignment vertical="center"/>
      <protection locked="0"/>
    </xf>
    <xf numFmtId="0" fontId="2" fillId="0" borderId="26" xfId="0" applyFont="1" applyBorder="1" applyAlignment="1" applyProtection="1">
      <alignment vertical="top"/>
      <protection locked="0"/>
    </xf>
    <xf numFmtId="0" fontId="48" fillId="0" borderId="12" xfId="0" applyFont="1" applyBorder="1"/>
    <xf numFmtId="0" fontId="10" fillId="16" borderId="20" xfId="0" applyFont="1" applyFill="1" applyBorder="1"/>
    <xf numFmtId="182" fontId="4" fillId="9" borderId="10" xfId="0" applyNumberFormat="1" applyFont="1" applyFill="1" applyBorder="1"/>
    <xf numFmtId="0" fontId="23" fillId="0" borderId="33" xfId="0" applyFont="1" applyFill="1" applyBorder="1" applyAlignment="1">
      <alignment horizontal="left"/>
    </xf>
    <xf numFmtId="167" fontId="0" fillId="0" borderId="20" xfId="0" applyNumberFormat="1" applyFill="1" applyBorder="1"/>
    <xf numFmtId="0" fontId="57" fillId="2" borderId="6" xfId="0" applyFont="1" applyFill="1" applyBorder="1" applyAlignment="1">
      <alignment horizontal="center"/>
    </xf>
    <xf numFmtId="0" fontId="0" fillId="0" borderId="25" xfId="0" applyFill="1" applyBorder="1"/>
    <xf numFmtId="0" fontId="45" fillId="0" borderId="0" xfId="0" applyFont="1"/>
    <xf numFmtId="4" fontId="7" fillId="5" borderId="33" xfId="0" applyNumberFormat="1" applyFont="1" applyFill="1" applyBorder="1" applyAlignment="1">
      <alignment horizontal="right"/>
    </xf>
    <xf numFmtId="0" fontId="7" fillId="5" borderId="33" xfId="0" applyFont="1" applyFill="1" applyBorder="1" applyAlignment="1">
      <alignment horizontal="center"/>
    </xf>
    <xf numFmtId="3" fontId="7" fillId="5" borderId="0" xfId="0" applyNumberFormat="1" applyFont="1" applyFill="1" applyBorder="1"/>
    <xf numFmtId="3" fontId="7" fillId="5" borderId="33" xfId="0" applyNumberFormat="1" applyFont="1" applyFill="1" applyBorder="1"/>
    <xf numFmtId="3" fontId="7" fillId="5" borderId="33" xfId="0" applyNumberFormat="1" applyFont="1" applyFill="1" applyBorder="1" applyAlignment="1">
      <alignment horizontal="center"/>
    </xf>
    <xf numFmtId="0" fontId="14" fillId="0" borderId="0" xfId="0" applyFont="1" applyFill="1" applyBorder="1" applyAlignment="1">
      <alignment horizontal="center"/>
    </xf>
    <xf numFmtId="0" fontId="46" fillId="0" borderId="0" xfId="0" applyFont="1" applyFill="1" applyBorder="1"/>
    <xf numFmtId="2" fontId="0" fillId="0" borderId="32" xfId="0" applyNumberFormat="1" applyBorder="1"/>
    <xf numFmtId="3" fontId="46" fillId="13" borderId="10" xfId="0" applyNumberFormat="1" applyFont="1" applyFill="1" applyBorder="1"/>
    <xf numFmtId="0" fontId="46" fillId="13" borderId="9" xfId="0" applyFont="1" applyFill="1" applyBorder="1"/>
    <xf numFmtId="3" fontId="0" fillId="0" borderId="20" xfId="0" applyNumberFormat="1" applyFill="1" applyBorder="1"/>
    <xf numFmtId="3" fontId="45" fillId="0" borderId="20" xfId="0" applyNumberFormat="1" applyFont="1" applyFill="1" applyBorder="1"/>
    <xf numFmtId="10" fontId="0" fillId="0" borderId="20" xfId="0" applyNumberFormat="1" applyFill="1" applyBorder="1"/>
    <xf numFmtId="10" fontId="0" fillId="0" borderId="46" xfId="0" applyNumberFormat="1" applyFill="1" applyBorder="1"/>
    <xf numFmtId="1" fontId="0" fillId="0" borderId="46" xfId="0" applyNumberFormat="1" applyFill="1" applyBorder="1"/>
    <xf numFmtId="0" fontId="0" fillId="0" borderId="16" xfId="0" applyFill="1" applyBorder="1"/>
    <xf numFmtId="0" fontId="0" fillId="0" borderId="17" xfId="0" applyFill="1" applyBorder="1"/>
    <xf numFmtId="0" fontId="0" fillId="0" borderId="15" xfId="0" applyFill="1" applyBorder="1"/>
    <xf numFmtId="0" fontId="0" fillId="6" borderId="9" xfId="0" applyFill="1" applyBorder="1"/>
    <xf numFmtId="0" fontId="0" fillId="0" borderId="2" xfId="0" applyFill="1" applyBorder="1"/>
    <xf numFmtId="9" fontId="0" fillId="0" borderId="32" xfId="0" applyNumberFormat="1" applyFill="1" applyBorder="1"/>
    <xf numFmtId="0" fontId="0" fillId="0" borderId="69" xfId="0" applyFill="1" applyBorder="1"/>
    <xf numFmtId="3" fontId="46" fillId="0" borderId="20" xfId="0" applyNumberFormat="1" applyFont="1" applyFill="1" applyBorder="1"/>
    <xf numFmtId="3" fontId="21" fillId="0" borderId="20" xfId="0" applyNumberFormat="1" applyFont="1" applyBorder="1"/>
    <xf numFmtId="0" fontId="21" fillId="0" borderId="0" xfId="0" applyFont="1" applyBorder="1"/>
    <xf numFmtId="3" fontId="46" fillId="6" borderId="10" xfId="0" applyNumberFormat="1" applyFont="1" applyFill="1" applyBorder="1"/>
    <xf numFmtId="0" fontId="46" fillId="6" borderId="8" xfId="0" applyFont="1" applyFill="1" applyBorder="1"/>
    <xf numFmtId="0" fontId="45" fillId="6" borderId="8" xfId="0" applyFont="1" applyFill="1" applyBorder="1"/>
    <xf numFmtId="0" fontId="46" fillId="9" borderId="8" xfId="0" applyFont="1" applyFill="1" applyBorder="1"/>
    <xf numFmtId="0" fontId="45" fillId="9" borderId="8" xfId="0" applyFont="1" applyFill="1" applyBorder="1"/>
    <xf numFmtId="171" fontId="46" fillId="0" borderId="20" xfId="0" applyNumberFormat="1" applyFont="1" applyFill="1" applyBorder="1"/>
    <xf numFmtId="0" fontId="35" fillId="0" borderId="0" xfId="0" applyFont="1" applyFill="1" applyBorder="1" applyAlignment="1"/>
    <xf numFmtId="0" fontId="61" fillId="0" borderId="20" xfId="0" applyFont="1" applyFill="1" applyBorder="1" applyAlignment="1">
      <alignment horizontal="center"/>
    </xf>
    <xf numFmtId="0" fontId="40" fillId="0" borderId="0" xfId="0" applyFont="1" applyFill="1" applyBorder="1" applyAlignment="1">
      <alignment horizontal="center"/>
    </xf>
    <xf numFmtId="0" fontId="40" fillId="0" borderId="12" xfId="0" applyFont="1" applyFill="1" applyBorder="1" applyAlignment="1">
      <alignment horizontal="center"/>
    </xf>
    <xf numFmtId="0" fontId="18" fillId="0" borderId="0" xfId="0" applyFont="1" applyFill="1" applyBorder="1" applyAlignment="1">
      <alignment horizontal="center"/>
    </xf>
    <xf numFmtId="0" fontId="18" fillId="0" borderId="12" xfId="0" applyFont="1" applyFill="1" applyBorder="1" applyAlignment="1">
      <alignment horizontal="center"/>
    </xf>
    <xf numFmtId="0" fontId="18" fillId="0" borderId="6" xfId="0" applyFont="1" applyFill="1" applyBorder="1" applyAlignment="1">
      <alignment horizontal="center"/>
    </xf>
    <xf numFmtId="3" fontId="45" fillId="2" borderId="20" xfId="0" applyNumberFormat="1" applyFont="1" applyFill="1" applyBorder="1"/>
    <xf numFmtId="0" fontId="0" fillId="51" borderId="33" xfId="0" applyFill="1" applyBorder="1"/>
    <xf numFmtId="0" fontId="21" fillId="51" borderId="4" xfId="0" applyFont="1" applyFill="1" applyBorder="1"/>
    <xf numFmtId="0" fontId="21" fillId="51" borderId="17" xfId="0" applyFont="1" applyFill="1" applyBorder="1"/>
    <xf numFmtId="0" fontId="0" fillId="0" borderId="15" xfId="0" applyBorder="1"/>
    <xf numFmtId="2" fontId="0" fillId="0" borderId="20" xfId="0" applyNumberFormat="1" applyFill="1" applyBorder="1"/>
    <xf numFmtId="179" fontId="45" fillId="0" borderId="3" xfId="0" applyNumberFormat="1" applyFont="1" applyFill="1" applyBorder="1"/>
    <xf numFmtId="0" fontId="45" fillId="0" borderId="2" xfId="0" applyFont="1" applyFill="1" applyBorder="1"/>
    <xf numFmtId="0" fontId="0" fillId="0" borderId="2" xfId="0" applyFont="1" applyFill="1" applyBorder="1"/>
    <xf numFmtId="10" fontId="45" fillId="0" borderId="3" xfId="0" applyNumberFormat="1" applyFont="1" applyFill="1" applyBorder="1"/>
    <xf numFmtId="0" fontId="45" fillId="0" borderId="3" xfId="0" applyFont="1" applyFill="1" applyBorder="1"/>
    <xf numFmtId="0" fontId="45" fillId="0" borderId="15" xfId="0" applyFont="1" applyFill="1" applyBorder="1"/>
    <xf numFmtId="0" fontId="0" fillId="0" borderId="25" xfId="0" applyFont="1" applyFill="1" applyBorder="1"/>
    <xf numFmtId="0" fontId="0" fillId="0" borderId="18" xfId="0" applyFont="1" applyFill="1" applyBorder="1"/>
    <xf numFmtId="2" fontId="45" fillId="0" borderId="3" xfId="0" applyNumberFormat="1" applyFont="1" applyFill="1" applyBorder="1"/>
    <xf numFmtId="0" fontId="45" fillId="0" borderId="1" xfId="0" applyFont="1" applyFill="1" applyBorder="1"/>
    <xf numFmtId="0" fontId="18" fillId="0" borderId="12" xfId="0" applyFont="1" applyFill="1" applyBorder="1"/>
    <xf numFmtId="0" fontId="57" fillId="0" borderId="24" xfId="0" applyFont="1" applyFill="1" applyBorder="1" applyAlignment="1"/>
    <xf numFmtId="0" fontId="0" fillId="0" borderId="35" xfId="0" applyFill="1" applyBorder="1"/>
    <xf numFmtId="0" fontId="0" fillId="0" borderId="32" xfId="0" applyFont="1" applyFill="1" applyBorder="1"/>
    <xf numFmtId="0" fontId="0" fillId="0" borderId="1" xfId="0" applyFont="1" applyFill="1" applyBorder="1"/>
    <xf numFmtId="2" fontId="45" fillId="0" borderId="40" xfId="0" applyNumberFormat="1" applyFont="1" applyFill="1" applyBorder="1"/>
    <xf numFmtId="10" fontId="45" fillId="0" borderId="40" xfId="0" applyNumberFormat="1" applyFont="1" applyFill="1" applyBorder="1"/>
    <xf numFmtId="0" fontId="45" fillId="0" borderId="40" xfId="0" applyFont="1" applyFill="1" applyBorder="1"/>
    <xf numFmtId="0" fontId="45" fillId="0" borderId="46" xfId="0" applyFont="1" applyFill="1" applyBorder="1"/>
    <xf numFmtId="0" fontId="0" fillId="0" borderId="34" xfId="0" applyFill="1" applyBorder="1"/>
    <xf numFmtId="0" fontId="18" fillId="0" borderId="11" xfId="0" applyFont="1" applyFill="1" applyBorder="1"/>
    <xf numFmtId="4" fontId="45" fillId="0" borderId="3" xfId="0" applyNumberFormat="1" applyFont="1" applyFill="1" applyBorder="1"/>
    <xf numFmtId="0" fontId="0" fillId="0" borderId="8" xfId="0" applyFill="1" applyBorder="1"/>
    <xf numFmtId="0" fontId="61" fillId="0" borderId="32" xfId="0" applyFont="1" applyFill="1" applyBorder="1" applyAlignment="1">
      <alignment horizontal="center"/>
    </xf>
    <xf numFmtId="0" fontId="61" fillId="0" borderId="33" xfId="0" applyFont="1" applyFill="1" applyBorder="1" applyAlignment="1">
      <alignment horizontal="center"/>
    </xf>
    <xf numFmtId="4" fontId="45" fillId="0" borderId="32" xfId="0" applyNumberFormat="1" applyFont="1" applyFill="1" applyBorder="1"/>
    <xf numFmtId="0" fontId="45" fillId="0" borderId="32" xfId="0" applyFont="1" applyFill="1" applyBorder="1"/>
    <xf numFmtId="10" fontId="0" fillId="0" borderId="32" xfId="0" applyNumberFormat="1" applyFill="1" applyBorder="1"/>
    <xf numFmtId="1" fontId="0" fillId="0" borderId="32" xfId="0" applyNumberFormat="1" applyFill="1" applyBorder="1"/>
    <xf numFmtId="0" fontId="0" fillId="6" borderId="50" xfId="0" applyFill="1" applyBorder="1"/>
    <xf numFmtId="0" fontId="0" fillId="9" borderId="50" xfId="0" applyFill="1" applyBorder="1"/>
    <xf numFmtId="0" fontId="0" fillId="9" borderId="8" xfId="0" applyFont="1" applyFill="1" applyBorder="1"/>
    <xf numFmtId="0" fontId="45" fillId="0" borderId="0" xfId="0" applyFont="1" applyBorder="1"/>
    <xf numFmtId="3" fontId="45" fillId="0" borderId="0" xfId="0" applyNumberFormat="1" applyFont="1" applyFill="1" applyBorder="1" applyAlignment="1"/>
    <xf numFmtId="3" fontId="45" fillId="0" borderId="0" xfId="0" applyNumberFormat="1" applyFont="1" applyFill="1" applyBorder="1" applyAlignment="1">
      <alignment vertical="top" wrapText="1"/>
    </xf>
    <xf numFmtId="0" fontId="45" fillId="0" borderId="7" xfId="0" applyFont="1" applyFill="1" applyBorder="1" applyAlignment="1"/>
    <xf numFmtId="0" fontId="47" fillId="0" borderId="0" xfId="0" applyFont="1" applyFill="1" applyBorder="1"/>
    <xf numFmtId="4" fontId="46" fillId="13" borderId="10" xfId="0" applyNumberFormat="1" applyFont="1" applyFill="1" applyBorder="1"/>
    <xf numFmtId="0" fontId="46" fillId="9" borderId="9" xfId="0" applyFont="1" applyFill="1" applyBorder="1"/>
    <xf numFmtId="0" fontId="35" fillId="0" borderId="50" xfId="0" applyFont="1" applyFill="1" applyBorder="1"/>
    <xf numFmtId="171" fontId="35" fillId="0" borderId="0" xfId="0" applyNumberFormat="1" applyFont="1" applyFill="1" applyBorder="1" applyAlignment="1" applyProtection="1">
      <alignment horizontal="center" vertical="top"/>
      <protection locked="0"/>
    </xf>
    <xf numFmtId="0" fontId="35" fillId="6" borderId="9" xfId="0" applyFont="1" applyFill="1" applyBorder="1" applyAlignment="1">
      <alignment vertical="center"/>
    </xf>
    <xf numFmtId="0" fontId="18" fillId="6" borderId="9" xfId="0" applyFont="1" applyFill="1" applyBorder="1"/>
    <xf numFmtId="0" fontId="35" fillId="9" borderId="8" xfId="0" applyFont="1" applyFill="1" applyBorder="1"/>
    <xf numFmtId="3" fontId="2" fillId="5" borderId="0" xfId="0" applyNumberFormat="1" applyFont="1" applyFill="1" applyBorder="1" applyAlignment="1">
      <alignment horizontal="center"/>
    </xf>
    <xf numFmtId="3" fontId="53" fillId="0" borderId="0" xfId="0" applyNumberFormat="1" applyFont="1" applyFill="1" applyBorder="1"/>
    <xf numFmtId="0" fontId="0" fillId="9" borderId="9" xfId="0" applyFont="1" applyFill="1" applyBorder="1"/>
    <xf numFmtId="4" fontId="46" fillId="9" borderId="10" xfId="0" applyNumberFormat="1" applyFont="1" applyFill="1" applyBorder="1"/>
    <xf numFmtId="0" fontId="46" fillId="0" borderId="12" xfId="0" applyFont="1" applyFill="1" applyBorder="1"/>
    <xf numFmtId="9" fontId="4" fillId="5" borderId="33" xfId="0" applyNumberFormat="1" applyFont="1" applyFill="1" applyBorder="1" applyAlignment="1">
      <alignment horizontal="center"/>
    </xf>
    <xf numFmtId="10" fontId="4" fillId="5" borderId="33" xfId="0" applyNumberFormat="1" applyFont="1" applyFill="1" applyBorder="1" applyAlignment="1">
      <alignment horizontal="center"/>
    </xf>
    <xf numFmtId="10" fontId="45" fillId="0" borderId="20" xfId="0" applyNumberFormat="1" applyFont="1" applyFill="1" applyBorder="1"/>
    <xf numFmtId="178" fontId="10" fillId="2" borderId="20" xfId="0" applyNumberFormat="1" applyFont="1" applyFill="1" applyBorder="1"/>
    <xf numFmtId="0" fontId="48" fillId="0" borderId="12" xfId="0" applyFont="1" applyFill="1" applyBorder="1"/>
    <xf numFmtId="0" fontId="48" fillId="0" borderId="20" xfId="0" applyFont="1" applyBorder="1"/>
    <xf numFmtId="0" fontId="70" fillId="6" borderId="9" xfId="0" applyFont="1" applyFill="1" applyBorder="1"/>
    <xf numFmtId="0" fontId="70" fillId="15" borderId="12" xfId="0" applyFont="1" applyFill="1" applyBorder="1"/>
    <xf numFmtId="0" fontId="70" fillId="0" borderId="12" xfId="0" applyFont="1" applyFill="1" applyBorder="1"/>
    <xf numFmtId="0" fontId="70" fillId="9" borderId="9" xfId="0" applyFont="1" applyFill="1" applyBorder="1"/>
    <xf numFmtId="182" fontId="2" fillId="0" borderId="32" xfId="3" applyNumberFormat="1" applyFont="1" applyFill="1" applyBorder="1" applyAlignment="1"/>
    <xf numFmtId="3" fontId="21" fillId="0" borderId="32" xfId="0" applyNumberFormat="1" applyFont="1" applyBorder="1"/>
    <xf numFmtId="3" fontId="70" fillId="0" borderId="0" xfId="0" applyNumberFormat="1" applyFont="1" applyBorder="1"/>
    <xf numFmtId="0" fontId="70" fillId="0" borderId="0" xfId="0" applyFont="1" applyBorder="1"/>
    <xf numFmtId="0" fontId="23" fillId="0" borderId="0" xfId="0" applyFont="1" applyBorder="1"/>
    <xf numFmtId="164" fontId="2" fillId="2" borderId="20" xfId="1" applyNumberFormat="1" applyFont="1" applyFill="1" applyBorder="1"/>
    <xf numFmtId="4" fontId="2" fillId="2" borderId="20" xfId="0" applyNumberFormat="1" applyFont="1" applyFill="1" applyBorder="1"/>
    <xf numFmtId="0" fontId="68" fillId="9" borderId="9" xfId="0" applyFont="1" applyFill="1" applyBorder="1"/>
    <xf numFmtId="0" fontId="21" fillId="0" borderId="12" xfId="0" applyFont="1" applyBorder="1"/>
    <xf numFmtId="10" fontId="0" fillId="0" borderId="6" xfId="1" applyNumberFormat="1" applyFont="1" applyBorder="1"/>
    <xf numFmtId="3" fontId="46" fillId="0" borderId="0" xfId="0" applyNumberFormat="1" applyFont="1"/>
    <xf numFmtId="0" fontId="18" fillId="0" borderId="0" xfId="0" applyFont="1" applyFill="1" applyBorder="1" applyAlignment="1"/>
    <xf numFmtId="0" fontId="0" fillId="51" borderId="7" xfId="0" applyFill="1" applyBorder="1"/>
    <xf numFmtId="0" fontId="0" fillId="51" borderId="41" xfId="0" applyFill="1" applyBorder="1"/>
    <xf numFmtId="0" fontId="0" fillId="51" borderId="5" xfId="0" applyFill="1" applyBorder="1"/>
    <xf numFmtId="3" fontId="0" fillId="2" borderId="0" xfId="0" applyNumberFormat="1" applyFont="1" applyFill="1" applyBorder="1" applyAlignment="1">
      <alignment horizontal="center" vertical="top"/>
    </xf>
    <xf numFmtId="0" fontId="0" fillId="0" borderId="0" xfId="0"/>
    <xf numFmtId="4" fontId="0" fillId="0" borderId="0" xfId="0" applyNumberFormat="1"/>
    <xf numFmtId="0" fontId="0" fillId="0" borderId="4" xfId="0" applyFill="1" applyBorder="1"/>
    <xf numFmtId="0" fontId="21" fillId="0" borderId="13" xfId="0" applyFont="1" applyBorder="1" applyAlignment="1"/>
    <xf numFmtId="0" fontId="21" fillId="0" borderId="19" xfId="0" applyFont="1" applyBorder="1" applyAlignment="1">
      <alignment horizontal="left"/>
    </xf>
    <xf numFmtId="184" fontId="45" fillId="0" borderId="40" xfId="0" applyNumberFormat="1" applyFont="1" applyFill="1" applyBorder="1"/>
    <xf numFmtId="3" fontId="45" fillId="0" borderId="32" xfId="0" applyNumberFormat="1" applyFont="1" applyFill="1" applyBorder="1"/>
    <xf numFmtId="0" fontId="45" fillId="0" borderId="20" xfId="0" applyFont="1" applyFill="1" applyBorder="1"/>
    <xf numFmtId="2" fontId="45" fillId="0" borderId="0" xfId="0" applyNumberFormat="1" applyFont="1" applyFill="1" applyBorder="1"/>
    <xf numFmtId="4" fontId="46" fillId="0" borderId="0" xfId="0" applyNumberFormat="1" applyFont="1" applyFill="1" applyBorder="1"/>
    <xf numFmtId="0" fontId="21" fillId="51" borderId="41" xfId="0" applyFont="1" applyFill="1" applyBorder="1"/>
    <xf numFmtId="0" fontId="45" fillId="0" borderId="14" xfId="0" applyFont="1" applyFill="1" applyBorder="1"/>
    <xf numFmtId="0" fontId="21" fillId="51" borderId="5" xfId="0" applyFont="1" applyFill="1" applyBorder="1"/>
    <xf numFmtId="0" fontId="21" fillId="51" borderId="7" xfId="0" applyFont="1" applyFill="1" applyBorder="1"/>
    <xf numFmtId="2" fontId="45" fillId="0" borderId="20" xfId="0" applyNumberFormat="1" applyFont="1" applyFill="1" applyBorder="1"/>
    <xf numFmtId="0" fontId="0" fillId="51" borderId="12" xfId="0" applyFill="1" applyBorder="1"/>
    <xf numFmtId="0" fontId="0" fillId="51" borderId="35" xfId="0" applyFill="1" applyBorder="1"/>
    <xf numFmtId="0" fontId="0" fillId="51" borderId="69" xfId="0" applyFill="1" applyBorder="1"/>
    <xf numFmtId="171" fontId="0" fillId="0" borderId="20" xfId="0" applyNumberFormat="1" applyFill="1" applyBorder="1"/>
    <xf numFmtId="171" fontId="0" fillId="0" borderId="0" xfId="0" applyNumberFormat="1"/>
    <xf numFmtId="0" fontId="52" fillId="0" borderId="0" xfId="0" applyFont="1" applyFill="1" applyBorder="1"/>
    <xf numFmtId="0" fontId="57" fillId="0" borderId="12" xfId="0" applyFont="1" applyBorder="1" applyAlignment="1"/>
    <xf numFmtId="0" fontId="0" fillId="0" borderId="12" xfId="0" applyFont="1" applyBorder="1" applyAlignment="1"/>
    <xf numFmtId="0" fontId="0" fillId="0" borderId="12" xfId="0" applyFont="1" applyBorder="1"/>
    <xf numFmtId="0" fontId="53" fillId="13" borderId="9" xfId="0" applyFont="1" applyFill="1" applyBorder="1"/>
    <xf numFmtId="0" fontId="53" fillId="0" borderId="12" xfId="0" applyFont="1" applyFill="1" applyBorder="1"/>
    <xf numFmtId="0" fontId="18" fillId="0" borderId="20" xfId="0" applyFont="1" applyFill="1" applyBorder="1" applyAlignment="1">
      <alignment horizontal="right"/>
    </xf>
    <xf numFmtId="0" fontId="18" fillId="0" borderId="12" xfId="0" applyFont="1" applyFill="1" applyBorder="1" applyAlignment="1">
      <alignment horizontal="left"/>
    </xf>
    <xf numFmtId="0" fontId="57" fillId="0" borderId="35" xfId="0" applyFont="1" applyBorder="1" applyAlignment="1"/>
    <xf numFmtId="0" fontId="0" fillId="0" borderId="0" xfId="0" applyAlignment="1">
      <alignment vertical="center" wrapText="1"/>
    </xf>
    <xf numFmtId="3" fontId="21" fillId="0" borderId="0" xfId="0" applyNumberFormat="1" applyFont="1" applyFill="1" applyBorder="1"/>
    <xf numFmtId="0" fontId="0" fillId="0" borderId="0" xfId="0"/>
    <xf numFmtId="0" fontId="45" fillId="0" borderId="0" xfId="0" applyFont="1"/>
    <xf numFmtId="0" fontId="0" fillId="0" borderId="18" xfId="0" applyBorder="1"/>
    <xf numFmtId="0" fontId="0" fillId="0" borderId="33" xfId="0" applyBorder="1"/>
    <xf numFmtId="0" fontId="0" fillId="0" borderId="33" xfId="0" applyFill="1" applyBorder="1"/>
    <xf numFmtId="4" fontId="0" fillId="0" borderId="32" xfId="0" applyNumberFormat="1" applyFill="1" applyBorder="1"/>
    <xf numFmtId="168" fontId="21" fillId="9" borderId="10" xfId="0" applyNumberFormat="1" applyFont="1" applyFill="1" applyBorder="1"/>
    <xf numFmtId="0" fontId="21" fillId="9" borderId="9" xfId="0" applyFont="1" applyFill="1" applyBorder="1"/>
    <xf numFmtId="2" fontId="0" fillId="10" borderId="20" xfId="0" applyNumberFormat="1" applyFill="1" applyBorder="1"/>
    <xf numFmtId="0" fontId="0" fillId="0" borderId="0" xfId="0"/>
    <xf numFmtId="0" fontId="21" fillId="0" borderId="0" xfId="0" applyFont="1"/>
    <xf numFmtId="0" fontId="0" fillId="0" borderId="0" xfId="0" applyBorder="1"/>
    <xf numFmtId="0" fontId="0" fillId="0" borderId="0" xfId="0" applyFont="1"/>
    <xf numFmtId="2" fontId="45" fillId="0" borderId="32" xfId="0" applyNumberFormat="1" applyFont="1" applyFill="1" applyBorder="1"/>
    <xf numFmtId="0" fontId="45" fillId="0" borderId="5" xfId="0" applyFont="1" applyFill="1" applyBorder="1"/>
    <xf numFmtId="0" fontId="0" fillId="0" borderId="0" xfId="0" applyBorder="1" applyAlignment="1">
      <alignment vertical="center"/>
    </xf>
    <xf numFmtId="0" fontId="0" fillId="0" borderId="0" xfId="0" applyBorder="1" applyAlignment="1">
      <alignment horizontal="right" vertical="center"/>
    </xf>
    <xf numFmtId="0" fontId="0" fillId="0" borderId="0" xfId="0" applyAlignment="1">
      <alignment vertical="center"/>
    </xf>
    <xf numFmtId="0" fontId="24" fillId="0" borderId="0" xfId="2" applyAlignment="1" applyProtection="1"/>
    <xf numFmtId="0" fontId="66" fillId="0" borderId="0" xfId="2" applyFont="1" applyFill="1" applyBorder="1" applyAlignment="1" applyProtection="1"/>
    <xf numFmtId="0" fontId="68" fillId="0" borderId="0" xfId="2" applyFont="1" applyFill="1" applyBorder="1" applyAlignment="1" applyProtection="1"/>
    <xf numFmtId="3" fontId="0" fillId="0" borderId="0" xfId="0" applyNumberFormat="1" applyFont="1" applyBorder="1"/>
    <xf numFmtId="0" fontId="18" fillId="0" borderId="0" xfId="0" applyFont="1" applyBorder="1" applyAlignment="1">
      <alignment horizontal="left"/>
    </xf>
    <xf numFmtId="3" fontId="35" fillId="0" borderId="2" xfId="0" applyNumberFormat="1" applyFont="1" applyFill="1" applyBorder="1" applyAlignment="1">
      <alignment horizontal="center"/>
    </xf>
    <xf numFmtId="0" fontId="24" fillId="0" borderId="0" xfId="2" applyAlignment="1" applyProtection="1">
      <alignment vertical="center"/>
    </xf>
    <xf numFmtId="2" fontId="57" fillId="2" borderId="0" xfId="0" applyNumberFormat="1" applyFont="1" applyFill="1" applyBorder="1"/>
    <xf numFmtId="164" fontId="4" fillId="5" borderId="6" xfId="0" applyNumberFormat="1" applyFont="1" applyFill="1" applyBorder="1" applyAlignment="1">
      <alignment horizontal="center"/>
    </xf>
    <xf numFmtId="3" fontId="0" fillId="0" borderId="0" xfId="0" applyNumberFormat="1" applyFill="1" applyBorder="1" applyAlignment="1">
      <alignment horizontal="left"/>
    </xf>
    <xf numFmtId="180" fontId="0" fillId="0" borderId="0" xfId="3" applyNumberFormat="1" applyFont="1" applyAlignment="1">
      <alignment horizontal="center"/>
    </xf>
    <xf numFmtId="0" fontId="33" fillId="0" borderId="0" xfId="0" applyFont="1" applyFill="1" applyBorder="1" applyAlignment="1">
      <alignment horizontal="center"/>
    </xf>
    <xf numFmtId="0" fontId="0" fillId="0" borderId="6" xfId="0" applyBorder="1" applyAlignment="1">
      <alignment horizontal="center" vertical="center"/>
    </xf>
    <xf numFmtId="0" fontId="48" fillId="0" borderId="3" xfId="0" applyFont="1" applyBorder="1" applyAlignment="1">
      <alignment vertical="center"/>
    </xf>
    <xf numFmtId="0" fontId="48" fillId="0" borderId="4" xfId="0" applyFont="1" applyBorder="1" applyAlignment="1">
      <alignment vertical="center"/>
    </xf>
    <xf numFmtId="4" fontId="2" fillId="0" borderId="0" xfId="1" applyNumberFormat="1" applyFont="1" applyFill="1" applyBorder="1" applyAlignment="1">
      <alignment horizontal="center"/>
    </xf>
    <xf numFmtId="168" fontId="35" fillId="9" borderId="0" xfId="0" applyNumberFormat="1" applyFont="1" applyFill="1" applyAlignment="1">
      <alignment horizontal="center" vertical="center"/>
    </xf>
    <xf numFmtId="168" fontId="35" fillId="9" borderId="45" xfId="0" applyNumberFormat="1" applyFont="1" applyFill="1" applyBorder="1" applyAlignment="1">
      <alignment horizontal="center" vertical="center"/>
    </xf>
    <xf numFmtId="2" fontId="2" fillId="0" borderId="32" xfId="0" applyNumberFormat="1" applyFont="1" applyFill="1" applyBorder="1" applyAlignment="1"/>
    <xf numFmtId="166" fontId="18" fillId="0" borderId="6" xfId="0" applyNumberFormat="1" applyFont="1" applyFill="1" applyBorder="1" applyAlignment="1">
      <alignment horizontal="center" vertical="center"/>
    </xf>
    <xf numFmtId="0" fontId="18" fillId="0" borderId="4" xfId="0" applyFont="1" applyFill="1" applyBorder="1" applyAlignment="1">
      <alignment horizontal="center" vertical="center"/>
    </xf>
    <xf numFmtId="0" fontId="0" fillId="0" borderId="6" xfId="0" applyFill="1" applyBorder="1" applyAlignment="1">
      <alignment horizontal="center" wrapText="1"/>
    </xf>
    <xf numFmtId="180" fontId="2" fillId="2" borderId="32" xfId="3" applyNumberFormat="1" applyFont="1" applyFill="1" applyBorder="1" applyAlignment="1"/>
    <xf numFmtId="0" fontId="21" fillId="53" borderId="74" xfId="0" applyFont="1" applyFill="1" applyBorder="1" applyAlignment="1">
      <alignment horizontal="center"/>
    </xf>
    <xf numFmtId="171" fontId="2" fillId="3" borderId="0" xfId="0" applyNumberFormat="1" applyFont="1" applyFill="1" applyBorder="1"/>
    <xf numFmtId="171" fontId="2" fillId="3" borderId="33" xfId="0" applyNumberFormat="1" applyFont="1" applyFill="1" applyBorder="1" applyAlignment="1">
      <alignment horizontal="right"/>
    </xf>
    <xf numFmtId="180" fontId="0" fillId="0" borderId="0" xfId="3" applyNumberFormat="1" applyFont="1"/>
    <xf numFmtId="0" fontId="32" fillId="0" borderId="6" xfId="0" applyFont="1" applyFill="1" applyBorder="1" applyAlignment="1">
      <alignment horizontal="center"/>
    </xf>
    <xf numFmtId="17" fontId="35" fillId="0" borderId="3" xfId="0" applyNumberFormat="1" applyFont="1" applyFill="1" applyBorder="1" applyAlignment="1" applyProtection="1">
      <alignment horizontal="center" vertical="center"/>
      <protection locked="0"/>
    </xf>
    <xf numFmtId="3" fontId="35" fillId="0" borderId="4" xfId="0" applyNumberFormat="1" applyFont="1" applyFill="1" applyBorder="1" applyAlignment="1">
      <alignment horizontal="center"/>
    </xf>
    <xf numFmtId="3" fontId="23" fillId="0" borderId="0" xfId="0" applyNumberFormat="1" applyFont="1" applyFill="1" applyBorder="1" applyAlignment="1">
      <alignment vertical="center"/>
    </xf>
    <xf numFmtId="0" fontId="70" fillId="0" borderId="0" xfId="0" applyFont="1" applyFill="1" applyBorder="1"/>
    <xf numFmtId="176" fontId="10" fillId="0" borderId="0" xfId="0" applyNumberFormat="1" applyFont="1" applyFill="1" applyBorder="1" applyAlignment="1">
      <alignment vertical="center"/>
    </xf>
    <xf numFmtId="43" fontId="23" fillId="0" borderId="0" xfId="3" applyFont="1" applyFill="1" applyBorder="1" applyAlignment="1">
      <alignment vertical="center"/>
    </xf>
    <xf numFmtId="0" fontId="23" fillId="0" borderId="0" xfId="0" applyFont="1" applyFill="1" applyBorder="1" applyAlignment="1">
      <alignment vertical="center"/>
    </xf>
    <xf numFmtId="182" fontId="70" fillId="0" borderId="0" xfId="0" applyNumberFormat="1" applyFont="1" applyFill="1" applyBorder="1"/>
    <xf numFmtId="2" fontId="2" fillId="0" borderId="0" xfId="0" applyNumberFormat="1" applyFont="1" applyFill="1" applyBorder="1" applyAlignment="1" applyProtection="1">
      <alignment horizontal="center"/>
      <protection locked="0"/>
    </xf>
    <xf numFmtId="188" fontId="2" fillId="0" borderId="0" xfId="3" applyNumberFormat="1" applyFont="1" applyFill="1" applyBorder="1" applyAlignment="1">
      <alignment horizontal="center"/>
    </xf>
    <xf numFmtId="180" fontId="2" fillId="0" borderId="0" xfId="3" applyNumberFormat="1" applyFont="1" applyFill="1" applyBorder="1"/>
    <xf numFmtId="0" fontId="23" fillId="0" borderId="0" xfId="0" applyFont="1" applyFill="1" applyBorder="1" applyAlignment="1">
      <alignment horizontal="left"/>
    </xf>
    <xf numFmtId="0" fontId="57" fillId="0" borderId="0" xfId="0" applyFont="1" applyFill="1"/>
    <xf numFmtId="3" fontId="18" fillId="2" borderId="20" xfId="0" applyNumberFormat="1" applyFont="1" applyFill="1" applyBorder="1" applyAlignment="1">
      <alignment horizontal="right"/>
    </xf>
    <xf numFmtId="3" fontId="18" fillId="0" borderId="20" xfId="0" applyNumberFormat="1" applyFont="1" applyFill="1" applyBorder="1" applyAlignment="1">
      <alignment horizontal="right"/>
    </xf>
    <xf numFmtId="2" fontId="18" fillId="0" borderId="6" xfId="0" applyNumberFormat="1" applyFont="1" applyFill="1" applyBorder="1" applyAlignment="1">
      <alignment horizontal="center" vertical="center"/>
    </xf>
    <xf numFmtId="2" fontId="18" fillId="0" borderId="20" xfId="0" applyNumberFormat="1" applyFont="1" applyFill="1" applyBorder="1" applyAlignment="1">
      <alignment horizontal="right"/>
    </xf>
    <xf numFmtId="0" fontId="21" fillId="51" borderId="6" xfId="0" applyFont="1" applyFill="1" applyBorder="1" applyAlignment="1">
      <alignment horizontal="center"/>
    </xf>
    <xf numFmtId="0" fontId="99" fillId="0" borderId="0" xfId="0" applyFont="1" applyBorder="1" applyAlignment="1">
      <alignment horizontal="center" vertical="center" wrapText="1"/>
    </xf>
    <xf numFmtId="0" fontId="99" fillId="0" borderId="0" xfId="0" applyFont="1" applyBorder="1" applyAlignment="1">
      <alignment vertical="center"/>
    </xf>
    <xf numFmtId="0" fontId="99" fillId="0" borderId="0" xfId="0" applyFont="1" applyFill="1" applyBorder="1" applyAlignment="1">
      <alignment horizontal="left" vertical="center"/>
    </xf>
    <xf numFmtId="0" fontId="18" fillId="0" borderId="6" xfId="0" applyFont="1" applyFill="1" applyBorder="1" applyAlignment="1">
      <alignment horizontal="center" vertical="center" wrapText="1"/>
    </xf>
    <xf numFmtId="10" fontId="2" fillId="5" borderId="32" xfId="0" applyNumberFormat="1" applyFont="1" applyFill="1" applyBorder="1" applyAlignment="1">
      <alignment horizontal="center"/>
    </xf>
    <xf numFmtId="43" fontId="70" fillId="0" borderId="0" xfId="0" applyNumberFormat="1" applyFont="1" applyFill="1" applyBorder="1"/>
    <xf numFmtId="0" fontId="45" fillId="0" borderId="24" xfId="0" applyFont="1" applyBorder="1"/>
    <xf numFmtId="0" fontId="42" fillId="12" borderId="10" xfId="0" applyFont="1" applyFill="1" applyBorder="1" applyAlignment="1"/>
    <xf numFmtId="0" fontId="42" fillId="12" borderId="9" xfId="0" applyFont="1" applyFill="1" applyBorder="1" applyAlignment="1"/>
    <xf numFmtId="0" fontId="42" fillId="12" borderId="8" xfId="0" applyFont="1" applyFill="1" applyBorder="1" applyAlignment="1"/>
    <xf numFmtId="3" fontId="2" fillId="2" borderId="17" xfId="0" applyNumberFormat="1" applyFont="1" applyFill="1" applyBorder="1" applyAlignment="1">
      <alignment horizontal="right"/>
    </xf>
    <xf numFmtId="3" fontId="48" fillId="0" borderId="17" xfId="0" applyNumberFormat="1" applyFont="1" applyFill="1" applyBorder="1" applyAlignment="1">
      <alignment horizontal="right"/>
    </xf>
    <xf numFmtId="17" fontId="4" fillId="0" borderId="3" xfId="0" applyNumberFormat="1" applyFont="1" applyBorder="1" applyAlignment="1" applyProtection="1">
      <alignment horizontal="center" vertical="center"/>
      <protection locked="0"/>
    </xf>
    <xf numFmtId="3" fontId="23" fillId="0" borderId="2" xfId="0" applyNumberFormat="1" applyFont="1" applyBorder="1" applyAlignment="1" applyProtection="1">
      <alignment horizontal="center" vertical="center"/>
    </xf>
    <xf numFmtId="17" fontId="2" fillId="0" borderId="32" xfId="0" applyNumberFormat="1" applyFont="1" applyFill="1" applyBorder="1" applyAlignment="1" applyProtection="1">
      <alignment horizontal="center" vertical="top"/>
    </xf>
    <xf numFmtId="3" fontId="0" fillId="2" borderId="0" xfId="0" applyNumberFormat="1" applyFill="1" applyBorder="1" applyAlignment="1">
      <alignment horizontal="center"/>
    </xf>
    <xf numFmtId="3" fontId="4" fillId="0" borderId="2" xfId="0" applyNumberFormat="1" applyFont="1" applyBorder="1" applyAlignment="1" applyProtection="1">
      <alignment horizontal="center" vertical="center"/>
    </xf>
    <xf numFmtId="0" fontId="42" fillId="12" borderId="19" xfId="0" applyFont="1" applyFill="1" applyBorder="1"/>
    <xf numFmtId="0" fontId="36" fillId="12" borderId="13" xfId="0" applyFont="1" applyFill="1" applyBorder="1"/>
    <xf numFmtId="0" fontId="48" fillId="0" borderId="13" xfId="0" applyFont="1" applyBorder="1"/>
    <xf numFmtId="0" fontId="42" fillId="12" borderId="72" xfId="0" applyFont="1" applyFill="1" applyBorder="1"/>
    <xf numFmtId="0" fontId="0" fillId="0" borderId="13" xfId="0" applyBorder="1"/>
    <xf numFmtId="0" fontId="10" fillId="0" borderId="26" xfId="0" applyFont="1" applyBorder="1"/>
    <xf numFmtId="0" fontId="15" fillId="0" borderId="21" xfId="0" applyFont="1" applyBorder="1" applyAlignment="1">
      <alignment horizontal="center" vertical="center"/>
    </xf>
    <xf numFmtId="176" fontId="48" fillId="0" borderId="0" xfId="0" applyNumberFormat="1" applyFont="1" applyBorder="1"/>
    <xf numFmtId="0" fontId="48" fillId="0" borderId="0" xfId="0" applyFont="1" applyBorder="1" applyAlignment="1">
      <alignment vertical="center"/>
    </xf>
    <xf numFmtId="17" fontId="4" fillId="0" borderId="20" xfId="0" applyNumberFormat="1" applyFont="1" applyBorder="1" applyAlignment="1" applyProtection="1">
      <alignment horizontal="right" vertical="top"/>
      <protection locked="0"/>
    </xf>
    <xf numFmtId="0" fontId="10" fillId="0" borderId="23" xfId="0" applyFont="1" applyFill="1" applyBorder="1"/>
    <xf numFmtId="0" fontId="23" fillId="0" borderId="16" xfId="0" applyFont="1" applyFill="1" applyBorder="1"/>
    <xf numFmtId="0" fontId="23" fillId="0" borderId="16" xfId="0" applyFont="1" applyFill="1" applyBorder="1" applyAlignment="1">
      <alignment horizontal="right"/>
    </xf>
    <xf numFmtId="4" fontId="4" fillId="0" borderId="16" xfId="0" applyNumberFormat="1"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0" fillId="0" borderId="16" xfId="0" applyBorder="1"/>
    <xf numFmtId="0" fontId="10" fillId="0" borderId="16" xfId="0" applyFont="1" applyBorder="1" applyAlignment="1">
      <alignment vertical="center"/>
    </xf>
    <xf numFmtId="0" fontId="0" fillId="0" borderId="26" xfId="0" applyBorder="1"/>
    <xf numFmtId="17" fontId="2" fillId="0" borderId="20" xfId="0" applyNumberFormat="1" applyFont="1" applyFill="1" applyBorder="1" applyAlignment="1" applyProtection="1">
      <alignment horizontal="center" vertical="top"/>
      <protection locked="0"/>
    </xf>
    <xf numFmtId="0" fontId="48" fillId="0" borderId="0" xfId="0" applyFont="1" applyBorder="1" applyAlignment="1">
      <alignment horizontal="center"/>
    </xf>
    <xf numFmtId="17" fontId="4" fillId="0" borderId="40" xfId="0" applyNumberFormat="1" applyFont="1" applyBorder="1" applyAlignment="1" applyProtection="1">
      <alignment horizontal="center" vertical="center"/>
      <protection locked="0"/>
    </xf>
    <xf numFmtId="0" fontId="48" fillId="0" borderId="0" xfId="0" applyFont="1" applyBorder="1" applyAlignment="1">
      <alignment horizontal="center" vertical="center"/>
    </xf>
    <xf numFmtId="0" fontId="10" fillId="0" borderId="11" xfId="0" applyFont="1" applyBorder="1" applyAlignment="1">
      <alignment vertical="center"/>
    </xf>
    <xf numFmtId="3" fontId="4" fillId="6" borderId="8" xfId="0" applyNumberFormat="1" applyFont="1" applyFill="1" applyBorder="1" applyAlignment="1" applyProtection="1">
      <alignment vertical="center"/>
      <protection locked="0"/>
    </xf>
    <xf numFmtId="3" fontId="10" fillId="16" borderId="0" xfId="3" applyNumberFormat="1" applyFont="1" applyFill="1" applyBorder="1"/>
    <xf numFmtId="3" fontId="23" fillId="0" borderId="0" xfId="3" applyNumberFormat="1" applyFont="1" applyFill="1" applyBorder="1"/>
    <xf numFmtId="180" fontId="10" fillId="16" borderId="0" xfId="3" applyNumberFormat="1" applyFont="1" applyFill="1" applyBorder="1"/>
    <xf numFmtId="180" fontId="23" fillId="0" borderId="0" xfId="3" applyNumberFormat="1" applyFont="1" applyFill="1" applyBorder="1"/>
    <xf numFmtId="176" fontId="48" fillId="0" borderId="0" xfId="0" applyNumberFormat="1" applyFont="1" applyBorder="1" applyAlignment="1">
      <alignment horizontal="center"/>
    </xf>
    <xf numFmtId="0" fontId="0" fillId="0" borderId="0" xfId="0" applyBorder="1" applyAlignment="1">
      <alignment horizontal="center" vertical="center"/>
    </xf>
    <xf numFmtId="0" fontId="23" fillId="16" borderId="12" xfId="0" applyFont="1" applyFill="1" applyBorder="1"/>
    <xf numFmtId="0" fontId="23" fillId="0" borderId="12" xfId="0" applyFont="1" applyFill="1" applyBorder="1"/>
    <xf numFmtId="3" fontId="2" fillId="3" borderId="1" xfId="0" applyNumberFormat="1" applyFont="1" applyFill="1" applyBorder="1"/>
    <xf numFmtId="3" fontId="2" fillId="3" borderId="17" xfId="0" applyNumberFormat="1" applyFont="1" applyFill="1" applyBorder="1"/>
    <xf numFmtId="3" fontId="23" fillId="0" borderId="23" xfId="0" applyNumberFormat="1" applyFont="1" applyFill="1" applyBorder="1"/>
    <xf numFmtId="0" fontId="23" fillId="0" borderId="16" xfId="0" applyFont="1" applyBorder="1"/>
    <xf numFmtId="3" fontId="4" fillId="6" borderId="10" xfId="0" applyNumberFormat="1" applyFont="1" applyFill="1" applyBorder="1"/>
    <xf numFmtId="3" fontId="2" fillId="15" borderId="20" xfId="0" applyNumberFormat="1" applyFont="1" applyFill="1" applyBorder="1"/>
    <xf numFmtId="3" fontId="4" fillId="0" borderId="20" xfId="0" applyNumberFormat="1" applyFont="1" applyFill="1" applyBorder="1"/>
    <xf numFmtId="178" fontId="10" fillId="2" borderId="34" xfId="0" applyNumberFormat="1" applyFont="1" applyFill="1" applyBorder="1"/>
    <xf numFmtId="0" fontId="10" fillId="0" borderId="69" xfId="0" applyFont="1" applyBorder="1"/>
    <xf numFmtId="3" fontId="4" fillId="6" borderId="10" xfId="0" applyNumberFormat="1" applyFont="1" applyFill="1" applyBorder="1" applyAlignment="1"/>
    <xf numFmtId="3" fontId="4" fillId="0" borderId="32" xfId="0" applyNumberFormat="1" applyFont="1" applyBorder="1"/>
    <xf numFmtId="0" fontId="10" fillId="0" borderId="12" xfId="0" applyFont="1" applyFill="1" applyBorder="1" applyAlignment="1">
      <alignment horizontal="left"/>
    </xf>
    <xf numFmtId="0" fontId="10" fillId="0" borderId="0" xfId="0" applyNumberFormat="1" applyFont="1" applyFill="1" applyBorder="1" applyAlignment="1">
      <alignment vertical="top" wrapText="1"/>
    </xf>
    <xf numFmtId="0" fontId="2" fillId="0" borderId="0" xfId="0" applyFont="1" applyFill="1" applyBorder="1" applyAlignment="1">
      <alignment horizontal="center" vertical="center" wrapText="1"/>
    </xf>
    <xf numFmtId="43" fontId="2" fillId="0" borderId="0" xfId="3" applyFont="1" applyFill="1" applyBorder="1" applyAlignment="1" applyProtection="1">
      <alignment horizontal="center"/>
      <protection locked="0"/>
    </xf>
    <xf numFmtId="10" fontId="2" fillId="0" borderId="0" xfId="1" applyNumberFormat="1" applyFont="1" applyFill="1" applyBorder="1" applyAlignment="1" applyProtection="1">
      <alignment horizontal="center"/>
      <protection locked="0"/>
    </xf>
    <xf numFmtId="11" fontId="2" fillId="0" borderId="0" xfId="0" applyNumberFormat="1" applyFont="1" applyFill="1" applyBorder="1" applyAlignment="1" applyProtection="1">
      <alignment horizontal="center"/>
      <protection locked="0"/>
    </xf>
    <xf numFmtId="9" fontId="2" fillId="0" borderId="0" xfId="1" applyFont="1" applyFill="1" applyBorder="1" applyAlignment="1" applyProtection="1">
      <alignment horizontal="center"/>
      <protection locked="0"/>
    </xf>
    <xf numFmtId="43" fontId="4" fillId="0" borderId="0" xfId="0" applyNumberFormat="1" applyFont="1" applyFill="1" applyBorder="1" applyAlignment="1"/>
    <xf numFmtId="0" fontId="0" fillId="0" borderId="19" xfId="0" applyBorder="1"/>
    <xf numFmtId="0" fontId="58" fillId="0" borderId="13" xfId="2" applyFont="1" applyBorder="1" applyAlignment="1" applyProtection="1"/>
    <xf numFmtId="0" fontId="24" fillId="0" borderId="13" xfId="2" applyFill="1" applyBorder="1" applyAlignment="1" applyProtection="1">
      <alignment horizontal="center"/>
    </xf>
    <xf numFmtId="0" fontId="66" fillId="0" borderId="0" xfId="2" applyFont="1" applyFill="1" applyBorder="1" applyAlignment="1" applyProtection="1">
      <alignment horizontal="center"/>
    </xf>
    <xf numFmtId="0" fontId="23" fillId="0" borderId="12" xfId="0" applyFont="1" applyFill="1" applyBorder="1" applyAlignment="1">
      <alignment horizontal="left"/>
    </xf>
    <xf numFmtId="0" fontId="56" fillId="0" borderId="0" xfId="2" applyFont="1" applyFill="1" applyBorder="1" applyAlignment="1" applyProtection="1">
      <alignment horizontal="center"/>
    </xf>
    <xf numFmtId="0" fontId="57" fillId="0" borderId="23" xfId="0" applyFont="1" applyBorder="1"/>
    <xf numFmtId="43" fontId="48" fillId="0" borderId="0" xfId="0" applyNumberFormat="1" applyFont="1" applyFill="1" applyBorder="1"/>
    <xf numFmtId="182" fontId="2" fillId="0" borderId="0" xfId="3" applyNumberFormat="1" applyFont="1" applyFill="1" applyBorder="1" applyAlignment="1"/>
    <xf numFmtId="43" fontId="2" fillId="0" borderId="0" xfId="0" applyNumberFormat="1" applyFont="1" applyFill="1" applyBorder="1" applyAlignment="1"/>
    <xf numFmtId="43" fontId="4" fillId="0" borderId="0" xfId="0" applyNumberFormat="1" applyFont="1" applyFill="1" applyBorder="1"/>
    <xf numFmtId="182" fontId="4" fillId="0" borderId="0" xfId="0" applyNumberFormat="1" applyFont="1" applyFill="1" applyBorder="1"/>
    <xf numFmtId="0" fontId="17" fillId="0" borderId="0" xfId="0" applyFont="1" applyFill="1"/>
    <xf numFmtId="0" fontId="57" fillId="0" borderId="19" xfId="0" applyFont="1" applyBorder="1"/>
    <xf numFmtId="0" fontId="10" fillId="0" borderId="26" xfId="0" applyFont="1" applyFill="1" applyBorder="1"/>
    <xf numFmtId="0" fontId="10" fillId="0" borderId="11" xfId="0" applyFont="1" applyFill="1" applyBorder="1"/>
    <xf numFmtId="180" fontId="4" fillId="6" borderId="10" xfId="0" applyNumberFormat="1" applyFont="1" applyFill="1" applyBorder="1" applyAlignment="1"/>
    <xf numFmtId="180" fontId="4" fillId="0" borderId="32" xfId="0" applyNumberFormat="1" applyFont="1" applyBorder="1"/>
    <xf numFmtId="0" fontId="24" fillId="0" borderId="0" xfId="2" applyFill="1" applyAlignment="1" applyProtection="1">
      <alignment horizontal="left"/>
    </xf>
    <xf numFmtId="0" fontId="21" fillId="9" borderId="8" xfId="0" applyFont="1" applyFill="1" applyBorder="1" applyAlignment="1">
      <alignment horizontal="right"/>
    </xf>
    <xf numFmtId="0" fontId="21" fillId="6" borderId="8" xfId="0" applyFont="1" applyFill="1" applyBorder="1" applyAlignment="1">
      <alignment horizontal="right"/>
    </xf>
    <xf numFmtId="3" fontId="70" fillId="0" borderId="73" xfId="0" applyNumberFormat="1" applyFont="1" applyBorder="1" applyAlignment="1">
      <alignment horizontal="center"/>
    </xf>
    <xf numFmtId="0" fontId="2" fillId="0" borderId="19" xfId="0" applyFont="1" applyBorder="1" applyAlignment="1">
      <alignment vertical="center"/>
    </xf>
    <xf numFmtId="0" fontId="10" fillId="0" borderId="20" xfId="0" applyFont="1" applyBorder="1" applyAlignment="1">
      <alignment vertical="center"/>
    </xf>
    <xf numFmtId="172" fontId="4" fillId="0" borderId="0" xfId="0" applyNumberFormat="1" applyFont="1" applyBorder="1" applyAlignment="1">
      <alignment vertical="center"/>
    </xf>
    <xf numFmtId="43" fontId="0" fillId="0" borderId="12" xfId="0" applyNumberFormat="1" applyBorder="1"/>
    <xf numFmtId="0" fontId="0" fillId="0" borderId="23" xfId="0" applyBorder="1"/>
    <xf numFmtId="0" fontId="0" fillId="0" borderId="77" xfId="0" applyBorder="1"/>
    <xf numFmtId="0" fontId="0" fillId="0" borderId="71" xfId="0" applyBorder="1"/>
    <xf numFmtId="0" fontId="4" fillId="0" borderId="16" xfId="0" applyFont="1" applyBorder="1" applyAlignment="1">
      <alignment vertical="center"/>
    </xf>
    <xf numFmtId="176" fontId="10" fillId="0" borderId="16" xfId="0" applyNumberFormat="1" applyFont="1" applyBorder="1" applyAlignment="1">
      <alignment vertical="center"/>
    </xf>
    <xf numFmtId="0" fontId="0" fillId="0" borderId="11" xfId="0" applyBorder="1"/>
    <xf numFmtId="0" fontId="17" fillId="6" borderId="10" xfId="0" applyFont="1" applyFill="1" applyBorder="1"/>
    <xf numFmtId="0" fontId="17" fillId="6" borderId="19" xfId="0" applyFont="1" applyFill="1" applyBorder="1"/>
    <xf numFmtId="0" fontId="18" fillId="6" borderId="26" xfId="0" applyFont="1" applyFill="1" applyBorder="1"/>
    <xf numFmtId="0" fontId="0" fillId="0" borderId="23" xfId="0" applyFill="1" applyBorder="1"/>
    <xf numFmtId="0" fontId="42" fillId="0" borderId="13" xfId="0" applyFont="1" applyFill="1" applyBorder="1" applyAlignment="1"/>
    <xf numFmtId="0" fontId="23" fillId="6" borderId="9" xfId="0" applyFont="1" applyFill="1" applyBorder="1"/>
    <xf numFmtId="0" fontId="2" fillId="0" borderId="19" xfId="0" applyFont="1" applyFill="1" applyBorder="1"/>
    <xf numFmtId="0" fontId="0" fillId="0" borderId="0" xfId="0" applyFont="1" applyFill="1" applyBorder="1" applyAlignment="1"/>
    <xf numFmtId="0" fontId="0" fillId="6" borderId="9" xfId="0" applyFill="1" applyBorder="1" applyAlignment="1">
      <alignment horizontal="left"/>
    </xf>
    <xf numFmtId="3" fontId="2" fillId="0" borderId="20" xfId="0" applyNumberFormat="1" applyFont="1" applyBorder="1"/>
    <xf numFmtId="0" fontId="21" fillId="0" borderId="20" xfId="0" applyFont="1" applyBorder="1" applyAlignment="1">
      <alignment horizontal="right"/>
    </xf>
    <xf numFmtId="174" fontId="0" fillId="0" borderId="12" xfId="0" applyNumberFormat="1" applyBorder="1"/>
    <xf numFmtId="174" fontId="21" fillId="0" borderId="12" xfId="0" applyNumberFormat="1" applyFont="1" applyBorder="1"/>
    <xf numFmtId="4" fontId="50" fillId="0" borderId="0" xfId="0" applyNumberFormat="1" applyFont="1" applyFill="1" applyBorder="1" applyAlignment="1">
      <alignment horizontal="center" vertical="center"/>
    </xf>
    <xf numFmtId="4" fontId="2" fillId="0" borderId="0" xfId="1" applyNumberFormat="1" applyFont="1" applyBorder="1"/>
    <xf numFmtId="4" fontId="8" fillId="0" borderId="0" xfId="0" applyNumberFormat="1" applyFont="1"/>
    <xf numFmtId="14" fontId="21" fillId="0" borderId="0" xfId="0" applyNumberFormat="1" applyFont="1" applyFill="1" applyBorder="1" applyAlignment="1">
      <alignment horizontal="center"/>
    </xf>
    <xf numFmtId="3" fontId="21" fillId="0" borderId="0" xfId="3" applyNumberFormat="1" applyFont="1" applyFill="1" applyBorder="1" applyAlignment="1">
      <alignment horizontal="center"/>
    </xf>
    <xf numFmtId="0" fontId="67" fillId="0" borderId="0" xfId="0" applyFont="1" applyBorder="1"/>
    <xf numFmtId="0" fontId="29" fillId="0" borderId="0" xfId="0" applyFont="1" applyBorder="1"/>
    <xf numFmtId="0" fontId="0" fillId="0" borderId="13" xfId="0" applyFill="1" applyBorder="1"/>
    <xf numFmtId="0" fontId="0" fillId="0" borderId="26" xfId="0" applyFill="1" applyBorder="1"/>
    <xf numFmtId="0" fontId="67" fillId="0" borderId="16" xfId="0" applyFont="1" applyBorder="1"/>
    <xf numFmtId="0" fontId="29" fillId="0" borderId="71" xfId="0" applyFont="1" applyBorder="1"/>
    <xf numFmtId="0" fontId="0" fillId="0" borderId="11" xfId="0" applyFill="1" applyBorder="1"/>
    <xf numFmtId="180" fontId="4" fillId="6" borderId="10" xfId="0" applyNumberFormat="1" applyFont="1" applyFill="1" applyBorder="1"/>
    <xf numFmtId="3" fontId="21" fillId="53" borderId="74" xfId="0" applyNumberFormat="1" applyFont="1" applyFill="1" applyBorder="1" applyAlignment="1">
      <alignment horizontal="center"/>
    </xf>
    <xf numFmtId="180" fontId="23" fillId="6" borderId="10" xfId="3" applyNumberFormat="1" applyFont="1" applyFill="1" applyBorder="1" applyAlignment="1">
      <alignment vertical="center"/>
    </xf>
    <xf numFmtId="180" fontId="10" fillId="16" borderId="0" xfId="3" applyNumberFormat="1" applyFont="1" applyFill="1" applyBorder="1" applyAlignment="1">
      <alignment horizontal="right"/>
    </xf>
    <xf numFmtId="180" fontId="48" fillId="16" borderId="0" xfId="0" applyNumberFormat="1" applyFont="1" applyFill="1" applyBorder="1"/>
    <xf numFmtId="3" fontId="21" fillId="6" borderId="8" xfId="0" applyNumberFormat="1" applyFont="1" applyFill="1" applyBorder="1"/>
    <xf numFmtId="3" fontId="21" fillId="0" borderId="5" xfId="0" applyNumberFormat="1" applyFont="1" applyFill="1" applyBorder="1" applyAlignment="1">
      <alignment horizontal="center"/>
    </xf>
    <xf numFmtId="189" fontId="0" fillId="0" borderId="35" xfId="0" applyNumberFormat="1" applyFill="1" applyBorder="1" applyAlignment="1">
      <alignment horizontal="center"/>
    </xf>
    <xf numFmtId="189" fontId="0" fillId="0" borderId="12" xfId="0" applyNumberFormat="1" applyBorder="1" applyAlignment="1">
      <alignment horizontal="center"/>
    </xf>
    <xf numFmtId="189" fontId="0" fillId="0" borderId="69" xfId="0" applyNumberFormat="1" applyBorder="1" applyAlignment="1">
      <alignment horizontal="center"/>
    </xf>
    <xf numFmtId="189" fontId="21" fillId="0" borderId="61" xfId="0" applyNumberFormat="1" applyFont="1" applyBorder="1" applyAlignment="1">
      <alignment horizontal="center"/>
    </xf>
    <xf numFmtId="3" fontId="21" fillId="6" borderId="10" xfId="0" applyNumberFormat="1" applyFont="1" applyFill="1" applyBorder="1"/>
    <xf numFmtId="0" fontId="91" fillId="0" borderId="20" xfId="0" applyFont="1" applyBorder="1" applyAlignment="1">
      <alignment vertical="top" wrapText="1"/>
    </xf>
    <xf numFmtId="0" fontId="91" fillId="0" borderId="0" xfId="0" applyFont="1" applyAlignment="1">
      <alignment vertical="top" wrapText="1"/>
    </xf>
    <xf numFmtId="0" fontId="91" fillId="0" borderId="12" xfId="0" applyFont="1" applyBorder="1" applyAlignment="1">
      <alignment vertical="top" wrapText="1"/>
    </xf>
    <xf numFmtId="0" fontId="0" fillId="0" borderId="0" xfId="0" applyBorder="1" applyAlignment="1">
      <alignment horizontal="right"/>
    </xf>
    <xf numFmtId="0" fontId="0" fillId="0" borderId="12" xfId="0" applyFill="1" applyBorder="1" applyAlignment="1">
      <alignment horizontal="center"/>
    </xf>
    <xf numFmtId="0" fontId="31" fillId="0" borderId="12" xfId="0" applyNumberFormat="1" applyFont="1" applyFill="1" applyBorder="1" applyAlignment="1">
      <alignment horizontal="center"/>
    </xf>
    <xf numFmtId="0" fontId="0" fillId="0" borderId="12" xfId="0" applyNumberFormat="1" applyFill="1" applyBorder="1" applyAlignment="1">
      <alignment horizontal="left"/>
    </xf>
    <xf numFmtId="0" fontId="0" fillId="0" borderId="11" xfId="0" applyNumberFormat="1" applyFill="1" applyBorder="1" applyAlignment="1">
      <alignment horizontal="left"/>
    </xf>
    <xf numFmtId="3" fontId="0" fillId="0" borderId="26" xfId="0" applyNumberFormat="1" applyFill="1" applyBorder="1" applyAlignment="1">
      <alignment horizontal="right"/>
    </xf>
    <xf numFmtId="3" fontId="0" fillId="0" borderId="12" xfId="0" applyNumberFormat="1" applyFill="1" applyBorder="1" applyAlignment="1">
      <alignment horizontal="right"/>
    </xf>
    <xf numFmtId="3" fontId="0" fillId="0" borderId="11" xfId="0" applyNumberFormat="1" applyFill="1" applyBorder="1" applyAlignment="1">
      <alignment horizontal="right"/>
    </xf>
    <xf numFmtId="3" fontId="2" fillId="0" borderId="0" xfId="0" applyNumberFormat="1" applyFont="1" applyFill="1" applyBorder="1" applyAlignment="1" applyProtection="1">
      <alignment vertical="center"/>
      <protection locked="0"/>
    </xf>
    <xf numFmtId="10" fontId="0" fillId="0" borderId="0" xfId="0" applyNumberFormat="1" applyBorder="1"/>
    <xf numFmtId="0" fontId="0" fillId="6" borderId="26" xfId="0" applyFill="1" applyBorder="1"/>
    <xf numFmtId="0" fontId="46" fillId="0" borderId="26" xfId="0" applyFont="1" applyBorder="1" applyAlignment="1">
      <alignment horizontal="right"/>
    </xf>
    <xf numFmtId="0" fontId="46" fillId="0" borderId="12" xfId="0" applyFont="1" applyBorder="1" applyAlignment="1">
      <alignment horizontal="right"/>
    </xf>
    <xf numFmtId="0" fontId="46" fillId="0" borderId="12" xfId="0" applyFont="1" applyBorder="1"/>
    <xf numFmtId="180" fontId="0" fillId="0" borderId="0" xfId="0" applyNumberFormat="1"/>
    <xf numFmtId="3" fontId="68" fillId="6" borderId="10" xfId="0" applyNumberFormat="1" applyFont="1" applyFill="1" applyBorder="1"/>
    <xf numFmtId="3" fontId="46" fillId="6" borderId="27" xfId="0" applyNumberFormat="1" applyFont="1" applyFill="1" applyBorder="1"/>
    <xf numFmtId="0" fontId="0" fillId="0" borderId="34" xfId="0" applyBorder="1"/>
    <xf numFmtId="0" fontId="17" fillId="0" borderId="0" xfId="0" applyFont="1" applyFill="1" applyBorder="1"/>
    <xf numFmtId="0" fontId="34" fillId="0" borderId="12" xfId="0" applyFont="1" applyFill="1" applyBorder="1"/>
    <xf numFmtId="180" fontId="4" fillId="0" borderId="20" xfId="0" applyNumberFormat="1" applyFont="1" applyBorder="1"/>
    <xf numFmtId="3" fontId="0" fillId="0" borderId="20" xfId="0" applyNumberFormat="1" applyBorder="1"/>
    <xf numFmtId="3" fontId="0" fillId="0" borderId="34" xfId="0" applyNumberFormat="1" applyBorder="1"/>
    <xf numFmtId="0" fontId="30" fillId="0" borderId="0" xfId="0" applyFont="1" applyAlignment="1">
      <alignment horizontal="center" vertical="center" wrapText="1"/>
    </xf>
    <xf numFmtId="10" fontId="4" fillId="5" borderId="5" xfId="0" applyNumberFormat="1" applyFont="1" applyFill="1" applyBorder="1" applyAlignment="1">
      <alignment horizontal="center" vertical="center"/>
    </xf>
    <xf numFmtId="0" fontId="2" fillId="5" borderId="33" xfId="0" applyFont="1" applyFill="1" applyBorder="1" applyAlignment="1">
      <alignment horizontal="center"/>
    </xf>
    <xf numFmtId="0" fontId="2" fillId="3" borderId="33" xfId="0" applyFont="1" applyFill="1" applyBorder="1" applyAlignment="1">
      <alignment horizontal="center"/>
    </xf>
    <xf numFmtId="0" fontId="2" fillId="5" borderId="17" xfId="0" applyFont="1" applyFill="1" applyBorder="1" applyAlignment="1">
      <alignment horizontal="center"/>
    </xf>
    <xf numFmtId="0" fontId="2" fillId="3" borderId="17" xfId="0" applyFont="1" applyFill="1" applyBorder="1" applyAlignment="1">
      <alignment horizontal="center"/>
    </xf>
    <xf numFmtId="0" fontId="0" fillId="0" borderId="46" xfId="0" applyBorder="1"/>
    <xf numFmtId="0" fontId="0" fillId="0" borderId="35" xfId="0" applyBorder="1"/>
    <xf numFmtId="165" fontId="0" fillId="0" borderId="34" xfId="0" applyNumberFormat="1" applyBorder="1"/>
    <xf numFmtId="0" fontId="19" fillId="0" borderId="0" xfId="0" applyFont="1" applyBorder="1"/>
    <xf numFmtId="0" fontId="51" fillId="0" borderId="0" xfId="0" applyFont="1" applyFill="1" applyBorder="1" applyAlignment="1"/>
    <xf numFmtId="0" fontId="10" fillId="0" borderId="24" xfId="0" applyFont="1" applyFill="1" applyBorder="1" applyAlignment="1"/>
    <xf numFmtId="0" fontId="57" fillId="0" borderId="0" xfId="0" applyFont="1" applyAlignment="1">
      <alignment wrapText="1"/>
    </xf>
    <xf numFmtId="0" fontId="23" fillId="6" borderId="26" xfId="0" applyFont="1" applyFill="1" applyBorder="1"/>
    <xf numFmtId="3" fontId="68" fillId="0" borderId="10" xfId="0" applyNumberFormat="1" applyFont="1" applyFill="1" applyBorder="1"/>
    <xf numFmtId="0" fontId="68" fillId="0" borderId="9" xfId="0" applyFont="1" applyFill="1" applyBorder="1"/>
    <xf numFmtId="0" fontId="23" fillId="0" borderId="13" xfId="0" applyFont="1" applyFill="1" applyBorder="1"/>
    <xf numFmtId="168" fontId="18" fillId="0" borderId="20" xfId="0" applyNumberFormat="1" applyFont="1" applyFill="1" applyBorder="1" applyAlignment="1">
      <alignment horizontal="right"/>
    </xf>
    <xf numFmtId="3" fontId="0" fillId="0" borderId="46" xfId="0" applyNumberFormat="1" applyBorder="1"/>
    <xf numFmtId="4" fontId="45" fillId="0" borderId="46" xfId="0" applyNumberFormat="1" applyFont="1" applyFill="1" applyBorder="1"/>
    <xf numFmtId="178" fontId="0" fillId="0" borderId="20" xfId="0" applyNumberFormat="1" applyFill="1" applyBorder="1"/>
    <xf numFmtId="0" fontId="0" fillId="0" borderId="0" xfId="0" applyFill="1" applyAlignment="1">
      <alignment horizontal="left"/>
    </xf>
    <xf numFmtId="166" fontId="0" fillId="0" borderId="0" xfId="0" applyNumberFormat="1" applyFill="1" applyAlignment="1">
      <alignment horizontal="left"/>
    </xf>
    <xf numFmtId="166" fontId="0" fillId="0" borderId="0" xfId="0" applyNumberFormat="1" applyFill="1"/>
    <xf numFmtId="168" fontId="45" fillId="0" borderId="34" xfId="0" applyNumberFormat="1" applyFont="1" applyFill="1" applyBorder="1"/>
    <xf numFmtId="168" fontId="45" fillId="0" borderId="20" xfId="0" applyNumberFormat="1" applyFont="1" applyFill="1" applyBorder="1"/>
    <xf numFmtId="171" fontId="45" fillId="0" borderId="20" xfId="0" applyNumberFormat="1" applyFont="1" applyFill="1" applyBorder="1"/>
    <xf numFmtId="2" fontId="46" fillId="9" borderId="10" xfId="0" applyNumberFormat="1" applyFont="1" applyFill="1" applyBorder="1"/>
    <xf numFmtId="166" fontId="45" fillId="0" borderId="32" xfId="0" applyNumberFormat="1" applyFont="1" applyFill="1" applyBorder="1"/>
    <xf numFmtId="168" fontId="45" fillId="0" borderId="32" xfId="0" applyNumberFormat="1" applyFont="1" applyFill="1" applyBorder="1"/>
    <xf numFmtId="0" fontId="45" fillId="0" borderId="18" xfId="0" applyFont="1" applyFill="1" applyBorder="1"/>
    <xf numFmtId="0" fontId="45" fillId="0" borderId="33" xfId="0" applyFont="1" applyFill="1" applyBorder="1"/>
    <xf numFmtId="0" fontId="45" fillId="0" borderId="17" xfId="0" applyFont="1" applyFill="1" applyBorder="1"/>
    <xf numFmtId="0" fontId="21" fillId="0" borderId="24" xfId="0" applyFont="1" applyBorder="1"/>
    <xf numFmtId="3" fontId="2" fillId="3" borderId="33" xfId="0" applyNumberFormat="1" applyFont="1" applyFill="1" applyBorder="1" applyAlignment="1">
      <alignment horizontal="right"/>
    </xf>
    <xf numFmtId="3" fontId="2" fillId="3" borderId="17" xfId="0" applyNumberFormat="1" applyFont="1" applyFill="1" applyBorder="1" applyAlignment="1">
      <alignment horizontal="right"/>
    </xf>
    <xf numFmtId="0" fontId="23" fillId="7" borderId="10" xfId="0" applyFont="1" applyFill="1" applyBorder="1"/>
    <xf numFmtId="0" fontId="23" fillId="7" borderId="8" xfId="0" applyFont="1" applyFill="1" applyBorder="1"/>
    <xf numFmtId="0" fontId="23" fillId="7" borderId="8" xfId="0" applyFont="1" applyFill="1" applyBorder="1" applyAlignment="1">
      <alignment horizontal="right"/>
    </xf>
    <xf numFmtId="3" fontId="4" fillId="7" borderId="8" xfId="0" applyNumberFormat="1"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10" fontId="4" fillId="0" borderId="0" xfId="0" applyNumberFormat="1" applyFont="1" applyBorder="1" applyAlignment="1">
      <alignment horizontal="center"/>
    </xf>
    <xf numFmtId="10" fontId="4" fillId="0" borderId="0" xfId="0" applyNumberFormat="1" applyFont="1" applyFill="1" applyBorder="1" applyAlignment="1">
      <alignment horizontal="center" vertical="center"/>
    </xf>
    <xf numFmtId="10" fontId="4" fillId="0" borderId="0" xfId="0" applyNumberFormat="1" applyFont="1" applyFill="1" applyBorder="1" applyAlignment="1">
      <alignment vertical="center"/>
    </xf>
    <xf numFmtId="10" fontId="4" fillId="5" borderId="41" xfId="0" applyNumberFormat="1" applyFont="1" applyFill="1" applyBorder="1" applyAlignment="1">
      <alignment horizontal="center" vertical="center"/>
    </xf>
    <xf numFmtId="3" fontId="2" fillId="5" borderId="41" xfId="0" applyNumberFormat="1" applyFont="1" applyFill="1" applyBorder="1" applyAlignment="1">
      <alignment horizontal="right"/>
    </xf>
    <xf numFmtId="3" fontId="4" fillId="5" borderId="41" xfId="0" applyNumberFormat="1" applyFont="1" applyFill="1" applyBorder="1" applyAlignment="1">
      <alignment horizontal="right"/>
    </xf>
    <xf numFmtId="3" fontId="4" fillId="5" borderId="41" xfId="0" applyNumberFormat="1" applyFont="1" applyFill="1" applyBorder="1"/>
    <xf numFmtId="3" fontId="2" fillId="5" borderId="41" xfId="0" applyNumberFormat="1" applyFont="1" applyFill="1" applyBorder="1"/>
    <xf numFmtId="3" fontId="2" fillId="5" borderId="33" xfId="0" applyNumberFormat="1" applyFont="1" applyFill="1" applyBorder="1" applyAlignment="1">
      <alignment horizontal="right"/>
    </xf>
    <xf numFmtId="3" fontId="4" fillId="0" borderId="0" xfId="0" applyNumberFormat="1" applyFont="1" applyFill="1" applyBorder="1" applyAlignment="1">
      <alignment vertical="center" wrapText="1"/>
    </xf>
    <xf numFmtId="0" fontId="100" fillId="0" borderId="0" xfId="0" applyFont="1" applyFill="1" applyBorder="1" applyAlignment="1">
      <alignment wrapText="1"/>
    </xf>
    <xf numFmtId="0" fontId="8" fillId="0" borderId="0" xfId="0" applyFont="1" applyFill="1" applyAlignment="1">
      <alignment horizontal="center"/>
    </xf>
    <xf numFmtId="0" fontId="17" fillId="0" borderId="0" xfId="0" applyFont="1" applyFill="1" applyBorder="1" applyAlignment="1">
      <alignment vertical="center"/>
    </xf>
    <xf numFmtId="3" fontId="4" fillId="5" borderId="14" xfId="0" applyNumberFormat="1" applyFont="1" applyFill="1" applyBorder="1"/>
    <xf numFmtId="0" fontId="4" fillId="5" borderId="41" xfId="0" applyFont="1" applyFill="1" applyBorder="1" applyAlignment="1">
      <alignment horizontal="center"/>
    </xf>
    <xf numFmtId="0" fontId="2" fillId="5" borderId="41" xfId="0" applyFont="1" applyFill="1" applyBorder="1" applyAlignment="1">
      <alignment horizontal="center"/>
    </xf>
    <xf numFmtId="3" fontId="2" fillId="5" borderId="32" xfId="0" applyNumberFormat="1" applyFont="1" applyFill="1" applyBorder="1"/>
    <xf numFmtId="0" fontId="53" fillId="0" borderId="16" xfId="0" applyFont="1" applyFill="1" applyBorder="1"/>
    <xf numFmtId="3" fontId="2" fillId="5" borderId="5" xfId="0" applyNumberFormat="1" applyFont="1" applyFill="1" applyBorder="1" applyAlignment="1">
      <alignment horizontal="right"/>
    </xf>
    <xf numFmtId="3" fontId="2" fillId="5" borderId="1" xfId="0" applyNumberFormat="1" applyFont="1" applyFill="1" applyBorder="1"/>
    <xf numFmtId="3" fontId="2" fillId="5" borderId="17" xfId="0" applyNumberFormat="1" applyFont="1" applyFill="1" applyBorder="1"/>
    <xf numFmtId="3" fontId="2" fillId="5" borderId="17" xfId="0" applyNumberFormat="1" applyFont="1" applyFill="1" applyBorder="1" applyAlignment="1">
      <alignment horizontal="center"/>
    </xf>
    <xf numFmtId="3" fontId="2" fillId="5" borderId="44" xfId="0" applyNumberFormat="1" applyFont="1" applyFill="1" applyBorder="1" applyAlignment="1">
      <alignment horizontal="right"/>
    </xf>
    <xf numFmtId="3" fontId="2" fillId="5" borderId="39" xfId="0" applyNumberFormat="1" applyFont="1" applyFill="1" applyBorder="1"/>
    <xf numFmtId="10" fontId="2" fillId="5" borderId="44" xfId="0" applyNumberFormat="1" applyFont="1" applyFill="1" applyBorder="1" applyAlignment="1">
      <alignment horizontal="center"/>
    </xf>
    <xf numFmtId="4" fontId="2" fillId="5" borderId="26" xfId="1" applyNumberFormat="1" applyFont="1" applyFill="1" applyBorder="1" applyAlignment="1">
      <alignment horizontal="center"/>
    </xf>
    <xf numFmtId="0" fontId="2" fillId="5" borderId="36" xfId="0" applyFont="1" applyFill="1" applyBorder="1" applyAlignment="1">
      <alignment horizontal="right"/>
    </xf>
    <xf numFmtId="4" fontId="2" fillId="5" borderId="12" xfId="1" applyNumberFormat="1" applyFont="1" applyFill="1" applyBorder="1" applyAlignment="1">
      <alignment horizontal="center"/>
    </xf>
    <xf numFmtId="0" fontId="4" fillId="5" borderId="75" xfId="0" applyFont="1" applyFill="1" applyBorder="1" applyAlignment="1">
      <alignment horizontal="left"/>
    </xf>
    <xf numFmtId="4" fontId="4" fillId="5" borderId="44" xfId="0" applyNumberFormat="1" applyFont="1" applyFill="1" applyBorder="1" applyAlignment="1">
      <alignment horizontal="right"/>
    </xf>
    <xf numFmtId="0" fontId="4" fillId="5" borderId="39" xfId="0" applyFont="1" applyFill="1" applyBorder="1" applyAlignment="1">
      <alignment horizontal="center"/>
    </xf>
    <xf numFmtId="3" fontId="4" fillId="5" borderId="13" xfId="0" applyNumberFormat="1" applyFont="1" applyFill="1" applyBorder="1"/>
    <xf numFmtId="3" fontId="4" fillId="5" borderId="39" xfId="0" applyNumberFormat="1" applyFont="1" applyFill="1" applyBorder="1"/>
    <xf numFmtId="3" fontId="4" fillId="5" borderId="39" xfId="0" applyNumberFormat="1" applyFont="1" applyFill="1" applyBorder="1" applyAlignment="1">
      <alignment horizontal="center"/>
    </xf>
    <xf numFmtId="3" fontId="4" fillId="5" borderId="44" xfId="0" applyNumberFormat="1" applyFont="1" applyFill="1" applyBorder="1" applyAlignment="1">
      <alignment horizontal="right"/>
    </xf>
    <xf numFmtId="0" fontId="4" fillId="5" borderId="36" xfId="0" applyFont="1" applyFill="1" applyBorder="1" applyAlignment="1">
      <alignment horizontal="left"/>
    </xf>
    <xf numFmtId="0" fontId="2" fillId="5" borderId="44" xfId="0" applyFont="1" applyFill="1" applyBorder="1" applyAlignment="1">
      <alignment horizontal="center"/>
    </xf>
    <xf numFmtId="3" fontId="2" fillId="5" borderId="72" xfId="0" applyNumberFormat="1" applyFont="1" applyFill="1" applyBorder="1"/>
    <xf numFmtId="10" fontId="2" fillId="5" borderId="39" xfId="0" applyNumberFormat="1" applyFont="1" applyFill="1" applyBorder="1" applyAlignment="1">
      <alignment horizontal="center"/>
    </xf>
    <xf numFmtId="3" fontId="2" fillId="5" borderId="13" xfId="0" applyNumberFormat="1" applyFont="1" applyFill="1" applyBorder="1" applyAlignment="1">
      <alignment horizontal="center"/>
    </xf>
    <xf numFmtId="0" fontId="2" fillId="5" borderId="22" xfId="0" applyFont="1" applyFill="1" applyBorder="1" applyAlignment="1">
      <alignment horizontal="right"/>
    </xf>
    <xf numFmtId="4" fontId="2" fillId="5" borderId="69" xfId="1" applyNumberFormat="1" applyFont="1" applyFill="1" applyBorder="1" applyAlignment="1">
      <alignment horizontal="center"/>
    </xf>
    <xf numFmtId="3" fontId="4" fillId="5" borderId="44" xfId="0" applyNumberFormat="1" applyFont="1" applyFill="1" applyBorder="1"/>
    <xf numFmtId="9" fontId="4" fillId="5" borderId="39" xfId="0" applyNumberFormat="1" applyFont="1" applyFill="1" applyBorder="1" applyAlignment="1">
      <alignment horizontal="center"/>
    </xf>
    <xf numFmtId="10" fontId="4" fillId="5" borderId="39" xfId="0" applyNumberFormat="1" applyFont="1" applyFill="1" applyBorder="1" applyAlignment="1">
      <alignment horizontal="center"/>
    </xf>
    <xf numFmtId="4" fontId="4" fillId="5" borderId="26" xfId="1" applyNumberFormat="1" applyFont="1" applyFill="1" applyBorder="1" applyAlignment="1">
      <alignment horizontal="center"/>
    </xf>
    <xf numFmtId="4" fontId="7" fillId="5" borderId="39" xfId="0" applyNumberFormat="1" applyFont="1" applyFill="1" applyBorder="1" applyAlignment="1">
      <alignment horizontal="right"/>
    </xf>
    <xf numFmtId="0" fontId="7" fillId="5" borderId="39" xfId="0" applyFont="1" applyFill="1" applyBorder="1" applyAlignment="1">
      <alignment horizontal="center"/>
    </xf>
    <xf numFmtId="3" fontId="7" fillId="5" borderId="13" xfId="0" applyNumberFormat="1" applyFont="1" applyFill="1" applyBorder="1"/>
    <xf numFmtId="3" fontId="7" fillId="5" borderId="39" xfId="0" applyNumberFormat="1" applyFont="1" applyFill="1" applyBorder="1"/>
    <xf numFmtId="3" fontId="7" fillId="5" borderId="39" xfId="0" applyNumberFormat="1" applyFont="1" applyFill="1" applyBorder="1" applyAlignment="1">
      <alignment horizontal="center"/>
    </xf>
    <xf numFmtId="10" fontId="7" fillId="5" borderId="39" xfId="0" applyNumberFormat="1" applyFont="1" applyFill="1" applyBorder="1" applyAlignment="1">
      <alignment horizontal="center"/>
    </xf>
    <xf numFmtId="0" fontId="4" fillId="4" borderId="75" xfId="0" applyFont="1" applyFill="1" applyBorder="1" applyAlignment="1">
      <alignment horizontal="left"/>
    </xf>
    <xf numFmtId="4" fontId="4" fillId="4" borderId="39" xfId="0" applyNumberFormat="1" applyFont="1" applyFill="1" applyBorder="1" applyAlignment="1">
      <alignment horizontal="right"/>
    </xf>
    <xf numFmtId="0" fontId="4" fillId="4" borderId="39" xfId="0" applyFont="1" applyFill="1" applyBorder="1" applyAlignment="1">
      <alignment horizontal="center"/>
    </xf>
    <xf numFmtId="3" fontId="4" fillId="4" borderId="13" xfId="0" applyNumberFormat="1" applyFont="1" applyFill="1" applyBorder="1"/>
    <xf numFmtId="3" fontId="4" fillId="4" borderId="39" xfId="0" applyNumberFormat="1" applyFont="1" applyFill="1" applyBorder="1"/>
    <xf numFmtId="4" fontId="2" fillId="4" borderId="26" xfId="1" applyNumberFormat="1" applyFont="1" applyFill="1" applyBorder="1" applyAlignment="1">
      <alignment horizontal="center"/>
    </xf>
    <xf numFmtId="0" fontId="2" fillId="4" borderId="36" xfId="0" applyFont="1" applyFill="1" applyBorder="1" applyAlignment="1">
      <alignment horizontal="right"/>
    </xf>
    <xf numFmtId="4" fontId="2" fillId="4" borderId="12" xfId="1" applyNumberFormat="1" applyFont="1" applyFill="1" applyBorder="1" applyAlignment="1">
      <alignment horizontal="center"/>
    </xf>
    <xf numFmtId="0" fontId="4" fillId="4" borderId="21" xfId="0" applyFont="1" applyFill="1" applyBorder="1" applyAlignment="1">
      <alignment horizontal="right"/>
    </xf>
    <xf numFmtId="0" fontId="2" fillId="4" borderId="42" xfId="0" applyFont="1" applyFill="1" applyBorder="1" applyAlignment="1">
      <alignment horizontal="right"/>
    </xf>
    <xf numFmtId="0" fontId="2" fillId="4" borderId="71" xfId="0" applyFont="1" applyFill="1" applyBorder="1" applyAlignment="1">
      <alignment horizontal="center"/>
    </xf>
    <xf numFmtId="37" fontId="2" fillId="4" borderId="16" xfId="0" applyNumberFormat="1" applyFont="1" applyFill="1" applyBorder="1"/>
    <xf numFmtId="3" fontId="2" fillId="4" borderId="71" xfId="0" applyNumberFormat="1" applyFont="1" applyFill="1" applyBorder="1"/>
    <xf numFmtId="3" fontId="2" fillId="4" borderId="43" xfId="0" applyNumberFormat="1" applyFont="1" applyFill="1" applyBorder="1" applyAlignment="1">
      <alignment horizontal="center"/>
    </xf>
    <xf numFmtId="3" fontId="2" fillId="4" borderId="71" xfId="0" applyNumberFormat="1" applyFont="1" applyFill="1" applyBorder="1" applyAlignment="1">
      <alignment horizontal="center"/>
    </xf>
    <xf numFmtId="10" fontId="4" fillId="4" borderId="66" xfId="0" applyNumberFormat="1" applyFont="1" applyFill="1" applyBorder="1" applyAlignment="1">
      <alignment vertical="center"/>
    </xf>
    <xf numFmtId="4" fontId="2" fillId="4" borderId="63" xfId="1" applyNumberFormat="1" applyFont="1" applyFill="1" applyBorder="1" applyAlignment="1">
      <alignment horizontal="center"/>
    </xf>
    <xf numFmtId="0" fontId="4" fillId="3" borderId="75" xfId="0" applyFont="1" applyFill="1" applyBorder="1" applyAlignment="1">
      <alignment horizontal="left"/>
    </xf>
    <xf numFmtId="0" fontId="4" fillId="3" borderId="39" xfId="0" applyFont="1" applyFill="1" applyBorder="1" applyAlignment="1">
      <alignment horizontal="center"/>
    </xf>
    <xf numFmtId="0" fontId="2" fillId="3" borderId="36" xfId="0" applyFont="1" applyFill="1" applyBorder="1" applyAlignment="1">
      <alignment horizontal="right"/>
    </xf>
    <xf numFmtId="4" fontId="2" fillId="3" borderId="12" xfId="1" applyNumberFormat="1" applyFont="1" applyFill="1" applyBorder="1" applyAlignment="1">
      <alignment horizontal="center"/>
    </xf>
    <xf numFmtId="0" fontId="2" fillId="3" borderId="22" xfId="0" applyFont="1" applyFill="1" applyBorder="1" applyAlignment="1">
      <alignment horizontal="right"/>
    </xf>
    <xf numFmtId="4" fontId="2" fillId="3" borderId="69" xfId="1" applyNumberFormat="1" applyFont="1" applyFill="1" applyBorder="1" applyAlignment="1">
      <alignment horizontal="center"/>
    </xf>
    <xf numFmtId="3" fontId="2" fillId="3" borderId="39" xfId="0" applyNumberFormat="1" applyFont="1" applyFill="1" applyBorder="1"/>
    <xf numFmtId="10" fontId="2" fillId="3" borderId="39" xfId="0" applyNumberFormat="1" applyFont="1" applyFill="1" applyBorder="1" applyAlignment="1">
      <alignment horizontal="center"/>
    </xf>
    <xf numFmtId="4" fontId="2" fillId="3" borderId="26" xfId="1" applyNumberFormat="1" applyFont="1" applyFill="1" applyBorder="1" applyAlignment="1">
      <alignment horizontal="center"/>
    </xf>
    <xf numFmtId="4" fontId="4" fillId="3" borderId="30" xfId="1" applyNumberFormat="1" applyFont="1" applyFill="1" applyBorder="1" applyAlignment="1">
      <alignment horizontal="center"/>
    </xf>
    <xf numFmtId="4" fontId="4" fillId="3" borderId="39" xfId="0" applyNumberFormat="1" applyFont="1" applyFill="1" applyBorder="1" applyAlignment="1">
      <alignment horizontal="right"/>
    </xf>
    <xf numFmtId="3" fontId="4" fillId="3" borderId="13" xfId="0" applyNumberFormat="1" applyFont="1" applyFill="1" applyBorder="1"/>
    <xf numFmtId="3" fontId="4" fillId="3" borderId="39" xfId="0" applyNumberFormat="1" applyFont="1" applyFill="1" applyBorder="1"/>
    <xf numFmtId="10" fontId="4" fillId="3" borderId="39" xfId="0" applyNumberFormat="1" applyFont="1" applyFill="1" applyBorder="1" applyAlignment="1">
      <alignment horizontal="center"/>
    </xf>
    <xf numFmtId="3" fontId="4" fillId="3" borderId="39" xfId="0" applyNumberFormat="1" applyFont="1" applyFill="1" applyBorder="1" applyAlignment="1">
      <alignment horizontal="center"/>
    </xf>
    <xf numFmtId="10" fontId="4" fillId="3" borderId="31" xfId="0" applyNumberFormat="1" applyFont="1" applyFill="1" applyBorder="1" applyAlignment="1">
      <alignment horizontal="center"/>
    </xf>
    <xf numFmtId="3" fontId="2" fillId="3" borderId="39" xfId="0" applyNumberFormat="1" applyFont="1" applyFill="1" applyBorder="1" applyAlignment="1">
      <alignment horizontal="center"/>
    </xf>
    <xf numFmtId="10" fontId="4" fillId="3" borderId="44" xfId="0" applyNumberFormat="1" applyFont="1" applyFill="1" applyBorder="1" applyAlignment="1">
      <alignment horizontal="center"/>
    </xf>
    <xf numFmtId="0" fontId="4" fillId="3" borderId="21" xfId="0" applyFont="1" applyFill="1" applyBorder="1" applyAlignment="1">
      <alignment horizontal="right"/>
    </xf>
    <xf numFmtId="0" fontId="2" fillId="3" borderId="42" xfId="0" applyFont="1" applyFill="1" applyBorder="1" applyAlignment="1">
      <alignment horizontal="right"/>
    </xf>
    <xf numFmtId="4" fontId="13" fillId="3" borderId="31" xfId="0" applyNumberFormat="1" applyFont="1" applyFill="1" applyBorder="1"/>
    <xf numFmtId="0" fontId="13" fillId="3" borderId="31" xfId="0" applyFont="1" applyFill="1" applyBorder="1" applyAlignment="1">
      <alignment horizontal="center"/>
    </xf>
    <xf numFmtId="0" fontId="2" fillId="3" borderId="31" xfId="0" applyFont="1" applyFill="1" applyBorder="1" applyAlignment="1">
      <alignment horizontal="center"/>
    </xf>
    <xf numFmtId="4" fontId="4" fillId="5" borderId="12" xfId="1" applyNumberFormat="1" applyFont="1" applyFill="1" applyBorder="1" applyAlignment="1">
      <alignment horizontal="center"/>
    </xf>
    <xf numFmtId="4" fontId="68" fillId="9" borderId="10" xfId="0" applyNumberFormat="1" applyFont="1" applyFill="1" applyBorder="1"/>
    <xf numFmtId="3" fontId="2" fillId="5" borderId="0" xfId="0" applyNumberFormat="1" applyFont="1" applyFill="1" applyBorder="1" applyAlignment="1">
      <alignment horizontal="right"/>
    </xf>
    <xf numFmtId="0" fontId="4" fillId="5" borderId="44" xfId="0" applyFont="1" applyFill="1" applyBorder="1" applyAlignment="1">
      <alignment horizontal="center"/>
    </xf>
    <xf numFmtId="0" fontId="2" fillId="5" borderId="5" xfId="0" applyFont="1" applyFill="1" applyBorder="1" applyAlignment="1">
      <alignment horizontal="center"/>
    </xf>
    <xf numFmtId="4" fontId="4" fillId="5" borderId="76" xfId="1" applyNumberFormat="1" applyFont="1" applyFill="1" applyBorder="1" applyAlignment="1">
      <alignment horizontal="center"/>
    </xf>
    <xf numFmtId="4" fontId="4" fillId="5" borderId="68" xfId="1" applyNumberFormat="1" applyFont="1" applyFill="1" applyBorder="1" applyAlignment="1">
      <alignment horizontal="center"/>
    </xf>
    <xf numFmtId="4" fontId="2" fillId="5" borderId="68" xfId="1" applyNumberFormat="1" applyFont="1" applyFill="1" applyBorder="1" applyAlignment="1">
      <alignment horizontal="center"/>
    </xf>
    <xf numFmtId="4" fontId="2" fillId="5" borderId="62" xfId="1" applyNumberFormat="1" applyFont="1" applyFill="1" applyBorder="1" applyAlignment="1">
      <alignment horizontal="center"/>
    </xf>
    <xf numFmtId="10" fontId="2" fillId="5" borderId="14" xfId="0" applyNumberFormat="1" applyFont="1" applyFill="1" applyBorder="1" applyAlignment="1">
      <alignment horizontal="center"/>
    </xf>
    <xf numFmtId="3" fontId="7" fillId="5" borderId="0" xfId="0" applyNumberFormat="1" applyFont="1" applyFill="1" applyBorder="1" applyAlignment="1">
      <alignment horizontal="center"/>
    </xf>
    <xf numFmtId="10" fontId="7" fillId="5" borderId="41" xfId="0" applyNumberFormat="1" applyFont="1" applyFill="1" applyBorder="1" applyAlignment="1">
      <alignment horizontal="center"/>
    </xf>
    <xf numFmtId="1" fontId="8" fillId="0" borderId="0" xfId="0" applyNumberFormat="1" applyFont="1" applyFill="1" applyAlignment="1">
      <alignment horizontal="center"/>
    </xf>
    <xf numFmtId="1" fontId="8" fillId="0" borderId="0" xfId="0" applyNumberFormat="1" applyFont="1" applyAlignment="1">
      <alignment horizontal="center"/>
    </xf>
    <xf numFmtId="0" fontId="2" fillId="3" borderId="4" xfId="0" applyFont="1" applyFill="1" applyBorder="1" applyAlignment="1">
      <alignment horizontal="center"/>
    </xf>
    <xf numFmtId="3" fontId="2" fillId="3" borderId="2" xfId="0" applyNumberFormat="1" applyFont="1" applyFill="1" applyBorder="1"/>
    <xf numFmtId="10" fontId="2" fillId="3" borderId="4" xfId="0" applyNumberFormat="1" applyFont="1" applyFill="1" applyBorder="1" applyAlignment="1">
      <alignment horizontal="center"/>
    </xf>
    <xf numFmtId="10" fontId="2" fillId="3" borderId="6" xfId="0" applyNumberFormat="1" applyFont="1" applyFill="1" applyBorder="1" applyAlignment="1">
      <alignment horizontal="center"/>
    </xf>
    <xf numFmtId="3" fontId="2" fillId="3" borderId="4" xfId="0" applyNumberFormat="1" applyFont="1" applyFill="1" applyBorder="1"/>
    <xf numFmtId="4" fontId="2" fillId="3" borderId="4" xfId="0" applyNumberFormat="1" applyFont="1" applyFill="1" applyBorder="1" applyAlignment="1">
      <alignment horizontal="right"/>
    </xf>
    <xf numFmtId="4" fontId="2" fillId="3" borderId="67" xfId="1" applyNumberFormat="1" applyFont="1" applyFill="1" applyBorder="1" applyAlignment="1">
      <alignment horizontal="center"/>
    </xf>
    <xf numFmtId="3" fontId="4" fillId="54" borderId="71" xfId="0" applyNumberFormat="1" applyFont="1" applyFill="1" applyBorder="1"/>
    <xf numFmtId="10" fontId="4" fillId="54" borderId="71" xfId="0" applyNumberFormat="1" applyFont="1" applyFill="1" applyBorder="1" applyAlignment="1">
      <alignment horizontal="center"/>
    </xf>
    <xf numFmtId="10" fontId="4" fillId="54" borderId="66" xfId="0" applyNumberFormat="1" applyFont="1" applyFill="1" applyBorder="1" applyAlignment="1">
      <alignment horizontal="center"/>
    </xf>
    <xf numFmtId="0" fontId="4" fillId="54" borderId="42" xfId="0" applyFont="1" applyFill="1" applyBorder="1" applyAlignment="1">
      <alignment horizontal="right"/>
    </xf>
    <xf numFmtId="0" fontId="4" fillId="54" borderId="31" xfId="0" applyFont="1" applyFill="1" applyBorder="1" applyAlignment="1">
      <alignment horizontal="center"/>
    </xf>
    <xf numFmtId="3" fontId="4" fillId="54" borderId="28" xfId="0" applyNumberFormat="1" applyFont="1" applyFill="1" applyBorder="1"/>
    <xf numFmtId="3" fontId="4" fillId="54" borderId="31" xfId="0" applyNumberFormat="1" applyFont="1" applyFill="1" applyBorder="1"/>
    <xf numFmtId="10" fontId="4" fillId="54" borderId="43" xfId="0" applyNumberFormat="1" applyFont="1" applyFill="1" applyBorder="1" applyAlignment="1">
      <alignment horizontal="center"/>
    </xf>
    <xf numFmtId="4" fontId="4" fillId="54" borderId="30" xfId="1" applyNumberFormat="1" applyFont="1" applyFill="1" applyBorder="1" applyAlignment="1">
      <alignment horizontal="center"/>
    </xf>
    <xf numFmtId="4" fontId="4" fillId="54" borderId="43" xfId="0" applyNumberFormat="1" applyFont="1" applyFill="1" applyBorder="1"/>
    <xf numFmtId="10" fontId="4" fillId="54" borderId="31" xfId="0" applyNumberFormat="1" applyFont="1" applyFill="1" applyBorder="1" applyAlignment="1">
      <alignment horizontal="center"/>
    </xf>
    <xf numFmtId="4" fontId="4" fillId="54" borderId="63" xfId="1" applyNumberFormat="1" applyFont="1" applyFill="1" applyBorder="1" applyAlignment="1">
      <alignment horizontal="center"/>
    </xf>
    <xf numFmtId="0" fontId="4" fillId="54" borderId="21" xfId="0" applyFont="1" applyFill="1" applyBorder="1" applyAlignment="1">
      <alignment horizontal="right"/>
    </xf>
    <xf numFmtId="0" fontId="4" fillId="54" borderId="4" xfId="0" applyFont="1" applyFill="1" applyBorder="1" applyAlignment="1">
      <alignment horizontal="center"/>
    </xf>
    <xf numFmtId="3" fontId="4" fillId="54" borderId="2" xfId="0" applyNumberFormat="1" applyFont="1" applyFill="1" applyBorder="1"/>
    <xf numFmtId="3" fontId="4" fillId="54" borderId="4" xfId="0" applyNumberFormat="1" applyFont="1" applyFill="1" applyBorder="1"/>
    <xf numFmtId="10" fontId="4" fillId="54" borderId="17" xfId="0" applyNumberFormat="1" applyFont="1" applyFill="1" applyBorder="1" applyAlignment="1">
      <alignment horizontal="center"/>
    </xf>
    <xf numFmtId="10" fontId="4" fillId="54" borderId="5" xfId="0" applyNumberFormat="1" applyFont="1" applyFill="1" applyBorder="1" applyAlignment="1">
      <alignment horizontal="center"/>
    </xf>
    <xf numFmtId="0" fontId="2" fillId="4" borderId="4" xfId="0" applyFont="1" applyFill="1" applyBorder="1" applyAlignment="1">
      <alignment horizontal="center"/>
    </xf>
    <xf numFmtId="3" fontId="2" fillId="4" borderId="2" xfId="0" applyNumberFormat="1" applyFont="1" applyFill="1" applyBorder="1"/>
    <xf numFmtId="3" fontId="2" fillId="4" borderId="4" xfId="0" applyNumberFormat="1" applyFont="1" applyFill="1" applyBorder="1"/>
    <xf numFmtId="10" fontId="2" fillId="4" borderId="4" xfId="1" applyNumberFormat="1" applyFont="1" applyFill="1" applyBorder="1" applyAlignment="1">
      <alignment horizontal="center"/>
    </xf>
    <xf numFmtId="10" fontId="2" fillId="4" borderId="4" xfId="0" applyNumberFormat="1" applyFont="1" applyFill="1" applyBorder="1" applyAlignment="1">
      <alignment horizontal="center"/>
    </xf>
    <xf numFmtId="0" fontId="4" fillId="56" borderId="21" xfId="0" applyFont="1" applyFill="1" applyBorder="1" applyAlignment="1">
      <alignment horizontal="right"/>
    </xf>
    <xf numFmtId="0" fontId="4" fillId="56" borderId="4" xfId="0" applyFont="1" applyFill="1" applyBorder="1" applyAlignment="1">
      <alignment horizontal="center"/>
    </xf>
    <xf numFmtId="3" fontId="4" fillId="56" borderId="4" xfId="0" applyNumberFormat="1" applyFont="1" applyFill="1" applyBorder="1" applyAlignment="1">
      <alignment horizontal="right"/>
    </xf>
    <xf numFmtId="3" fontId="4" fillId="56" borderId="4" xfId="0" applyNumberFormat="1" applyFont="1" applyFill="1" applyBorder="1"/>
    <xf numFmtId="10" fontId="4" fillId="56" borderId="6" xfId="0" applyNumberFormat="1" applyFont="1" applyFill="1" applyBorder="1" applyAlignment="1">
      <alignment horizontal="center"/>
    </xf>
    <xf numFmtId="4" fontId="4" fillId="56" borderId="61" xfId="1" applyNumberFormat="1" applyFont="1" applyFill="1" applyBorder="1" applyAlignment="1">
      <alignment horizontal="center"/>
    </xf>
    <xf numFmtId="4" fontId="2" fillId="4" borderId="67" xfId="1" applyNumberFormat="1" applyFont="1" applyFill="1" applyBorder="1" applyAlignment="1">
      <alignment horizontal="center"/>
    </xf>
    <xf numFmtId="0" fontId="4" fillId="57" borderId="22" xfId="0" applyFont="1" applyFill="1" applyBorder="1" applyAlignment="1">
      <alignment horizontal="right"/>
    </xf>
    <xf numFmtId="3" fontId="4" fillId="57" borderId="66" xfId="0" applyNumberFormat="1" applyFont="1" applyFill="1" applyBorder="1" applyAlignment="1">
      <alignment horizontal="right"/>
    </xf>
    <xf numFmtId="0" fontId="4" fillId="57" borderId="71" xfId="0" applyFont="1" applyFill="1" applyBorder="1" applyAlignment="1">
      <alignment horizontal="center"/>
    </xf>
    <xf numFmtId="3" fontId="4" fillId="57" borderId="16" xfId="0" applyNumberFormat="1" applyFont="1" applyFill="1" applyBorder="1"/>
    <xf numFmtId="3" fontId="4" fillId="57" borderId="71" xfId="0" applyNumberFormat="1" applyFont="1" applyFill="1" applyBorder="1"/>
    <xf numFmtId="10" fontId="4" fillId="57" borderId="71" xfId="0" applyNumberFormat="1" applyFont="1" applyFill="1" applyBorder="1" applyAlignment="1">
      <alignment horizontal="center"/>
    </xf>
    <xf numFmtId="4" fontId="4" fillId="57" borderId="65" xfId="1" applyNumberFormat="1" applyFont="1" applyFill="1" applyBorder="1" applyAlignment="1">
      <alignment horizontal="center"/>
    </xf>
    <xf numFmtId="3" fontId="2" fillId="5" borderId="6" xfId="0" applyNumberFormat="1" applyFont="1" applyFill="1" applyBorder="1" applyAlignment="1">
      <alignment horizontal="right"/>
    </xf>
    <xf numFmtId="37" fontId="2" fillId="5" borderId="2" xfId="0" applyNumberFormat="1" applyFont="1" applyFill="1" applyBorder="1"/>
    <xf numFmtId="3" fontId="2" fillId="5" borderId="2" xfId="0" applyNumberFormat="1" applyFont="1" applyFill="1" applyBorder="1"/>
    <xf numFmtId="10" fontId="2" fillId="5" borderId="2" xfId="0" applyNumberFormat="1" applyFont="1" applyFill="1" applyBorder="1" applyAlignment="1">
      <alignment horizontal="center"/>
    </xf>
    <xf numFmtId="0" fontId="2" fillId="5" borderId="6" xfId="0" applyFont="1" applyFill="1" applyBorder="1" applyAlignment="1">
      <alignment horizontal="center"/>
    </xf>
    <xf numFmtId="10" fontId="2" fillId="5" borderId="6" xfId="0" applyNumberFormat="1" applyFont="1" applyFill="1" applyBorder="1" applyAlignment="1">
      <alignment horizontal="center"/>
    </xf>
    <xf numFmtId="3" fontId="2" fillId="5" borderId="6" xfId="0" applyNumberFormat="1" applyFont="1" applyFill="1" applyBorder="1" applyAlignment="1">
      <alignment horizontal="center"/>
    </xf>
    <xf numFmtId="0" fontId="2" fillId="5" borderId="4" xfId="0" applyFont="1" applyFill="1" applyBorder="1" applyAlignment="1">
      <alignment horizontal="center"/>
    </xf>
    <xf numFmtId="10" fontId="2" fillId="5" borderId="4" xfId="0" applyNumberFormat="1" applyFont="1" applyFill="1" applyBorder="1" applyAlignment="1">
      <alignment horizontal="center"/>
    </xf>
    <xf numFmtId="0" fontId="4" fillId="57" borderId="42" xfId="0" applyFont="1" applyFill="1" applyBorder="1" applyAlignment="1">
      <alignment horizontal="right"/>
    </xf>
    <xf numFmtId="3" fontId="4" fillId="57" borderId="43" xfId="0" applyNumberFormat="1" applyFont="1" applyFill="1" applyBorder="1" applyAlignment="1">
      <alignment horizontal="right"/>
    </xf>
    <xf numFmtId="0" fontId="4" fillId="57" borderId="31" xfId="0" applyFont="1" applyFill="1" applyBorder="1" applyAlignment="1">
      <alignment horizontal="center"/>
    </xf>
    <xf numFmtId="3" fontId="4" fillId="57" borderId="28" xfId="0" applyNumberFormat="1" applyFont="1" applyFill="1" applyBorder="1"/>
    <xf numFmtId="3" fontId="4" fillId="57" borderId="31" xfId="0" applyNumberFormat="1" applyFont="1" applyFill="1" applyBorder="1"/>
    <xf numFmtId="10" fontId="4" fillId="57" borderId="31" xfId="0" applyNumberFormat="1" applyFont="1" applyFill="1" applyBorder="1" applyAlignment="1">
      <alignment horizontal="center"/>
    </xf>
    <xf numFmtId="10" fontId="4" fillId="57" borderId="43" xfId="0" applyNumberFormat="1" applyFont="1" applyFill="1" applyBorder="1" applyAlignment="1">
      <alignment horizontal="center"/>
    </xf>
    <xf numFmtId="4" fontId="4" fillId="57" borderId="30" xfId="1" applyNumberFormat="1" applyFont="1" applyFill="1" applyBorder="1" applyAlignment="1">
      <alignment horizontal="center"/>
    </xf>
    <xf numFmtId="0" fontId="4" fillId="57" borderId="43" xfId="0" applyFont="1" applyFill="1" applyBorder="1" applyAlignment="1">
      <alignment horizontal="center"/>
    </xf>
    <xf numFmtId="3" fontId="4" fillId="57" borderId="29" xfId="0" applyNumberFormat="1" applyFont="1" applyFill="1" applyBorder="1"/>
    <xf numFmtId="4" fontId="4" fillId="57" borderId="63" xfId="1" applyNumberFormat="1" applyFont="1" applyFill="1" applyBorder="1" applyAlignment="1">
      <alignment horizontal="center"/>
    </xf>
    <xf numFmtId="3" fontId="2" fillId="5" borderId="4" xfId="0" applyNumberFormat="1" applyFont="1" applyFill="1" applyBorder="1"/>
    <xf numFmtId="3" fontId="2" fillId="5" borderId="4" xfId="0" applyNumberFormat="1" applyFont="1" applyFill="1" applyBorder="1" applyAlignment="1">
      <alignment horizontal="center"/>
    </xf>
    <xf numFmtId="0" fontId="4" fillId="57" borderId="70" xfId="0" applyFont="1" applyFill="1" applyBorder="1" applyAlignment="1">
      <alignment horizontal="right"/>
    </xf>
    <xf numFmtId="3" fontId="4" fillId="57" borderId="66" xfId="0" applyNumberFormat="1" applyFont="1" applyFill="1" applyBorder="1"/>
    <xf numFmtId="4" fontId="53" fillId="9" borderId="10" xfId="0" applyNumberFormat="1" applyFont="1" applyFill="1" applyBorder="1"/>
    <xf numFmtId="10" fontId="4" fillId="57" borderId="66" xfId="0" applyNumberFormat="1" applyFont="1" applyFill="1" applyBorder="1" applyAlignment="1">
      <alignment horizontal="center"/>
    </xf>
    <xf numFmtId="4" fontId="4" fillId="57" borderId="11" xfId="1" applyNumberFormat="1" applyFont="1" applyFill="1" applyBorder="1" applyAlignment="1">
      <alignment horizontal="center"/>
    </xf>
    <xf numFmtId="3" fontId="2" fillId="5" borderId="6" xfId="0" applyNumberFormat="1" applyFont="1" applyFill="1" applyBorder="1"/>
    <xf numFmtId="3" fontId="4" fillId="57" borderId="31" xfId="0" applyNumberFormat="1" applyFont="1" applyFill="1" applyBorder="1" applyAlignment="1">
      <alignment horizontal="right"/>
    </xf>
    <xf numFmtId="10" fontId="2" fillId="5" borderId="3" xfId="0" applyNumberFormat="1" applyFont="1" applyFill="1" applyBorder="1" applyAlignment="1">
      <alignment horizontal="center"/>
    </xf>
    <xf numFmtId="10" fontId="4" fillId="57" borderId="77" xfId="0" applyNumberFormat="1" applyFont="1" applyFill="1" applyBorder="1" applyAlignment="1">
      <alignment horizontal="center"/>
    </xf>
    <xf numFmtId="0" fontId="4" fillId="5" borderId="21" xfId="0" applyFont="1" applyFill="1" applyBorder="1" applyAlignment="1">
      <alignment horizontal="right"/>
    </xf>
    <xf numFmtId="4" fontId="2" fillId="5" borderId="61" xfId="1" applyNumberFormat="1" applyFont="1" applyFill="1" applyBorder="1" applyAlignment="1">
      <alignment horizontal="center"/>
    </xf>
    <xf numFmtId="4" fontId="2" fillId="5" borderId="67" xfId="1" applyNumberFormat="1" applyFont="1" applyFill="1" applyBorder="1" applyAlignment="1">
      <alignment horizontal="center"/>
    </xf>
    <xf numFmtId="0" fontId="4" fillId="57" borderId="21" xfId="0" applyFont="1" applyFill="1" applyBorder="1" applyAlignment="1">
      <alignment horizontal="right"/>
    </xf>
    <xf numFmtId="3" fontId="10" fillId="0" borderId="0" xfId="0" applyNumberFormat="1" applyFont="1" applyFill="1" applyBorder="1"/>
    <xf numFmtId="10" fontId="10" fillId="0" borderId="0" xfId="1" applyNumberFormat="1" applyFont="1" applyFill="1" applyBorder="1"/>
    <xf numFmtId="4" fontId="48" fillId="0" borderId="0" xfId="0" applyNumberFormat="1" applyFont="1"/>
    <xf numFmtId="3" fontId="0" fillId="0" borderId="33" xfId="0" applyNumberFormat="1" applyBorder="1"/>
    <xf numFmtId="4" fontId="35" fillId="0" borderId="0" xfId="0" applyNumberFormat="1" applyFont="1" applyFill="1" applyBorder="1" applyAlignment="1">
      <alignment horizontal="center"/>
    </xf>
    <xf numFmtId="2" fontId="0" fillId="0" borderId="12" xfId="0" applyNumberFormat="1" applyBorder="1"/>
    <xf numFmtId="0" fontId="0" fillId="0" borderId="0" xfId="0" applyBorder="1" applyAlignment="1">
      <alignment horizontal="left"/>
    </xf>
    <xf numFmtId="0" fontId="49" fillId="0" borderId="0" xfId="0" applyFont="1" applyFill="1" applyBorder="1" applyAlignment="1">
      <alignment horizontal="center"/>
    </xf>
    <xf numFmtId="165" fontId="0" fillId="2" borderId="34" xfId="0" applyNumberFormat="1" applyFill="1" applyBorder="1"/>
    <xf numFmtId="171" fontId="68" fillId="9" borderId="10" xfId="0" applyNumberFormat="1" applyFont="1" applyFill="1" applyBorder="1"/>
    <xf numFmtId="0" fontId="4" fillId="8" borderId="0" xfId="0" pivotButton="1" applyFont="1" applyFill="1" applyAlignment="1">
      <alignment horizontal="center" vertical="center"/>
    </xf>
    <xf numFmtId="0" fontId="2" fillId="0" borderId="0" xfId="0" pivotButton="1" applyFont="1" applyFill="1" applyAlignment="1">
      <alignment horizontal="left" vertical="center"/>
    </xf>
    <xf numFmtId="171" fontId="21" fillId="53" borderId="74" xfId="0" applyNumberFormat="1" applyFont="1" applyFill="1" applyBorder="1" applyAlignment="1">
      <alignment horizontal="center"/>
    </xf>
    <xf numFmtId="0" fontId="21" fillId="53" borderId="73" xfId="0" applyFont="1" applyFill="1" applyBorder="1" applyAlignment="1">
      <alignment horizontal="center" vertical="center"/>
    </xf>
    <xf numFmtId="0" fontId="21" fillId="53" borderId="73" xfId="0" applyFont="1" applyFill="1" applyBorder="1" applyAlignment="1">
      <alignment horizontal="center" vertical="center" wrapText="1"/>
    </xf>
    <xf numFmtId="0" fontId="70" fillId="53" borderId="73" xfId="0" pivotButton="1" applyFont="1" applyFill="1" applyBorder="1" applyAlignment="1">
      <alignment horizontal="center" vertical="center"/>
    </xf>
    <xf numFmtId="3" fontId="0" fillId="2" borderId="46" xfId="0" applyNumberFormat="1" applyFill="1" applyBorder="1"/>
    <xf numFmtId="168" fontId="18" fillId="0" borderId="6" xfId="0" applyNumberFormat="1" applyFont="1" applyFill="1" applyBorder="1" applyAlignment="1">
      <alignment horizontal="center" vertical="center"/>
    </xf>
    <xf numFmtId="3" fontId="57" fillId="0" borderId="20" xfId="0" applyNumberFormat="1" applyFont="1" applyBorder="1"/>
    <xf numFmtId="4" fontId="4" fillId="54" borderId="62" xfId="1" applyNumberFormat="1" applyFont="1" applyFill="1" applyBorder="1" applyAlignment="1">
      <alignment horizontal="center"/>
    </xf>
    <xf numFmtId="9" fontId="4" fillId="3" borderId="6" xfId="1" applyNumberFormat="1" applyFont="1" applyFill="1" applyBorder="1" applyAlignment="1">
      <alignment horizontal="center"/>
    </xf>
    <xf numFmtId="0" fontId="0" fillId="0" borderId="0" xfId="0" applyAlignment="1">
      <alignment horizontal="left" vertical="center" indent="5"/>
    </xf>
    <xf numFmtId="0" fontId="103" fillId="0" borderId="0" xfId="0" applyFont="1" applyAlignment="1">
      <alignment horizontal="left" vertical="center" indent="10"/>
    </xf>
    <xf numFmtId="0" fontId="101" fillId="0" borderId="0" xfId="0" applyFont="1" applyAlignment="1">
      <alignment vertical="center"/>
    </xf>
    <xf numFmtId="183" fontId="0" fillId="0" borderId="6" xfId="0" applyNumberFormat="1" applyBorder="1"/>
    <xf numFmtId="0" fontId="0" fillId="0" borderId="6" xfId="0" applyFill="1" applyBorder="1"/>
    <xf numFmtId="16" fontId="0" fillId="0" borderId="6" xfId="0" applyNumberFormat="1" applyFill="1" applyBorder="1"/>
    <xf numFmtId="183" fontId="0" fillId="0" borderId="6" xfId="0" applyNumberFormat="1" applyFill="1" applyBorder="1"/>
    <xf numFmtId="0" fontId="21" fillId="0" borderId="73" xfId="0" applyFont="1" applyBorder="1" applyAlignment="1">
      <alignment horizontal="center"/>
    </xf>
    <xf numFmtId="168" fontId="2" fillId="0" borderId="0" xfId="0" applyNumberFormat="1" applyFont="1" applyFill="1" applyAlignment="1">
      <alignment horizontal="left" vertical="center"/>
    </xf>
    <xf numFmtId="9" fontId="4" fillId="5" borderId="6" xfId="1" applyNumberFormat="1" applyFont="1" applyFill="1" applyBorder="1" applyAlignment="1">
      <alignment horizontal="center"/>
    </xf>
    <xf numFmtId="164" fontId="4" fillId="3" borderId="6" xfId="0" applyNumberFormat="1" applyFont="1" applyFill="1" applyBorder="1" applyAlignment="1">
      <alignment horizontal="center"/>
    </xf>
    <xf numFmtId="9" fontId="4" fillId="3" borderId="6" xfId="0" applyNumberFormat="1" applyFont="1" applyFill="1" applyBorder="1" applyAlignment="1">
      <alignment horizontal="center"/>
    </xf>
    <xf numFmtId="168" fontId="0" fillId="0" borderId="6" xfId="0" applyNumberFormat="1" applyBorder="1"/>
    <xf numFmtId="166" fontId="0" fillId="0" borderId="6" xfId="0" applyNumberFormat="1" applyBorder="1"/>
    <xf numFmtId="183" fontId="0" fillId="0" borderId="0" xfId="0" applyNumberFormat="1"/>
    <xf numFmtId="1" fontId="0" fillId="0" borderId="6" xfId="0" quotePrefix="1" applyNumberFormat="1" applyBorder="1" applyAlignment="1">
      <alignment horizontal="left"/>
    </xf>
    <xf numFmtId="180" fontId="48" fillId="0" borderId="0" xfId="3" applyNumberFormat="1" applyFont="1"/>
    <xf numFmtId="165" fontId="0" fillId="0" borderId="6" xfId="0" applyNumberFormat="1" applyBorder="1"/>
    <xf numFmtId="0" fontId="19" fillId="0" borderId="0" xfId="0" applyFont="1" applyFill="1" applyBorder="1" applyAlignment="1">
      <alignment vertical="center"/>
    </xf>
    <xf numFmtId="0" fontId="35" fillId="0" borderId="12" xfId="0" applyFont="1" applyFill="1" applyBorder="1" applyAlignment="1"/>
    <xf numFmtId="20" fontId="45" fillId="0" borderId="0" xfId="0" applyNumberFormat="1" applyFont="1"/>
    <xf numFmtId="3" fontId="2" fillId="4" borderId="33" xfId="0" applyNumberFormat="1" applyFont="1" applyFill="1" applyBorder="1" applyAlignment="1">
      <alignment horizontal="right"/>
    </xf>
    <xf numFmtId="3" fontId="2" fillId="4" borderId="41" xfId="0" applyNumberFormat="1" applyFont="1" applyFill="1" applyBorder="1" applyAlignment="1">
      <alignment horizontal="right"/>
    </xf>
    <xf numFmtId="3" fontId="2" fillId="3" borderId="33" xfId="0" applyNumberFormat="1" applyFont="1" applyFill="1" applyBorder="1" applyAlignment="1">
      <alignment horizontal="right" indent="1"/>
    </xf>
    <xf numFmtId="3" fontId="2" fillId="4" borderId="6" xfId="0" applyNumberFormat="1" applyFont="1" applyFill="1" applyBorder="1" applyAlignment="1">
      <alignment horizontal="right"/>
    </xf>
    <xf numFmtId="3" fontId="2" fillId="4" borderId="4" xfId="0" applyNumberFormat="1" applyFont="1" applyFill="1" applyBorder="1" applyAlignment="1">
      <alignment horizontal="right"/>
    </xf>
    <xf numFmtId="3" fontId="2" fillId="4" borderId="71" xfId="0" applyNumberFormat="1" applyFont="1" applyFill="1" applyBorder="1" applyAlignment="1">
      <alignment horizontal="right"/>
    </xf>
    <xf numFmtId="3" fontId="18" fillId="2" borderId="34" xfId="0" applyNumberFormat="1" applyFont="1" applyFill="1" applyBorder="1" applyAlignment="1">
      <alignment horizontal="right"/>
    </xf>
    <xf numFmtId="0" fontId="18" fillId="0" borderId="69" xfId="0" applyFont="1" applyFill="1" applyBorder="1" applyAlignment="1">
      <alignment horizontal="left"/>
    </xf>
    <xf numFmtId="2" fontId="18" fillId="0" borderId="34" xfId="0" applyNumberFormat="1" applyFont="1" applyFill="1" applyBorder="1" applyAlignment="1">
      <alignment horizontal="right"/>
    </xf>
    <xf numFmtId="3" fontId="18" fillId="0" borderId="34" xfId="0" applyNumberFormat="1" applyFont="1" applyFill="1" applyBorder="1" applyAlignment="1">
      <alignment horizontal="right"/>
    </xf>
    <xf numFmtId="3" fontId="21" fillId="2" borderId="73" xfId="0" applyNumberFormat="1" applyFont="1" applyFill="1" applyBorder="1" applyAlignment="1">
      <alignment horizontal="center"/>
    </xf>
    <xf numFmtId="17" fontId="2" fillId="0" borderId="0" xfId="0" applyNumberFormat="1" applyFont="1" applyFill="1" applyBorder="1" applyAlignment="1" applyProtection="1">
      <alignment horizontal="right" vertical="top"/>
      <protection locked="0"/>
    </xf>
    <xf numFmtId="3" fontId="48" fillId="0" borderId="0" xfId="0" applyNumberFormat="1" applyFont="1" applyFill="1" applyBorder="1" applyAlignment="1">
      <alignment horizontal="right"/>
    </xf>
    <xf numFmtId="9" fontId="48" fillId="0" borderId="0" xfId="1" applyFont="1" applyFill="1" applyBorder="1" applyAlignment="1">
      <alignment horizontal="right"/>
    </xf>
    <xf numFmtId="9" fontId="48" fillId="0" borderId="0" xfId="1" applyFont="1" applyFill="1" applyBorder="1"/>
    <xf numFmtId="10" fontId="52" fillId="0" borderId="0" xfId="0" applyNumberFormat="1" applyFont="1"/>
    <xf numFmtId="10" fontId="52" fillId="0" borderId="0" xfId="1" applyNumberFormat="1" applyFont="1"/>
    <xf numFmtId="172" fontId="0" fillId="0" borderId="0" xfId="0" applyNumberFormat="1" applyFont="1" applyFill="1" applyBorder="1" applyAlignment="1">
      <alignment horizontal="center" vertical="top"/>
    </xf>
    <xf numFmtId="0" fontId="18" fillId="0" borderId="32" xfId="0" applyNumberFormat="1" applyFont="1" applyFill="1" applyBorder="1" applyAlignment="1" applyProtection="1">
      <alignment horizontal="center" vertical="top"/>
      <protection locked="0"/>
    </xf>
    <xf numFmtId="0" fontId="32" fillId="0" borderId="3" xfId="0" applyFont="1" applyFill="1" applyBorder="1" applyAlignment="1">
      <alignment horizontal="center"/>
    </xf>
    <xf numFmtId="3" fontId="0" fillId="0" borderId="7" xfId="0" applyNumberFormat="1" applyFont="1" applyFill="1" applyBorder="1" applyAlignment="1">
      <alignment horizontal="center" vertical="top"/>
    </xf>
    <xf numFmtId="3" fontId="0" fillId="0" borderId="41" xfId="0" applyNumberFormat="1" applyFont="1" applyFill="1" applyBorder="1" applyAlignment="1">
      <alignment horizontal="center" vertical="top"/>
    </xf>
    <xf numFmtId="3" fontId="0" fillId="0" borderId="5" xfId="0" applyNumberFormat="1" applyFont="1" applyFill="1" applyBorder="1" applyAlignment="1">
      <alignment horizontal="center" vertical="top"/>
    </xf>
    <xf numFmtId="178" fontId="10" fillId="2" borderId="0" xfId="0" applyNumberFormat="1" applyFont="1" applyFill="1" applyBorder="1"/>
    <xf numFmtId="171" fontId="10" fillId="2" borderId="0" xfId="0" applyNumberFormat="1" applyFont="1" applyFill="1" applyBorder="1"/>
    <xf numFmtId="178" fontId="10" fillId="55" borderId="0" xfId="0" applyNumberFormat="1" applyFont="1" applyFill="1" applyBorder="1"/>
    <xf numFmtId="171" fontId="10" fillId="55" borderId="0" xfId="0" applyNumberFormat="1" applyFont="1" applyFill="1" applyBorder="1"/>
    <xf numFmtId="11" fontId="10" fillId="55" borderId="0" xfId="0" applyNumberFormat="1" applyFont="1" applyFill="1" applyBorder="1"/>
    <xf numFmtId="3" fontId="0" fillId="55" borderId="7" xfId="0" applyNumberFormat="1" applyFill="1" applyBorder="1" applyAlignment="1">
      <alignment horizontal="center"/>
    </xf>
    <xf numFmtId="0" fontId="32" fillId="0" borderId="7" xfId="0" applyFont="1" applyFill="1" applyBorder="1" applyAlignment="1">
      <alignment horizontal="center"/>
    </xf>
    <xf numFmtId="3" fontId="35" fillId="0" borderId="5" xfId="0" applyNumberFormat="1" applyFont="1" applyFill="1" applyBorder="1" applyAlignment="1">
      <alignment horizontal="center"/>
    </xf>
    <xf numFmtId="3" fontId="0" fillId="55" borderId="41" xfId="0" applyNumberFormat="1" applyFill="1" applyBorder="1" applyAlignment="1">
      <alignment horizontal="center"/>
    </xf>
    <xf numFmtId="3" fontId="0" fillId="55" borderId="5" xfId="0" applyNumberFormat="1" applyFill="1" applyBorder="1" applyAlignment="1">
      <alignment horizontal="center"/>
    </xf>
    <xf numFmtId="0" fontId="32" fillId="0" borderId="6" xfId="0" applyFont="1" applyBorder="1" applyAlignment="1">
      <alignment horizontal="center"/>
    </xf>
    <xf numFmtId="0" fontId="18" fillId="0" borderId="33" xfId="0" applyFont="1" applyBorder="1" applyAlignment="1">
      <alignment horizontal="center"/>
    </xf>
    <xf numFmtId="0" fontId="35" fillId="0" borderId="4" xfId="0" applyFont="1" applyBorder="1" applyAlignment="1">
      <alignment horizontal="center"/>
    </xf>
    <xf numFmtId="0" fontId="32" fillId="0" borderId="0" xfId="0" applyFont="1" applyFill="1" applyBorder="1" applyAlignment="1">
      <alignment horizontal="center"/>
    </xf>
    <xf numFmtId="181" fontId="18" fillId="0" borderId="0" xfId="0" applyNumberFormat="1" applyFont="1" applyFill="1" applyBorder="1" applyAlignment="1">
      <alignment horizontal="center" vertical="center"/>
    </xf>
    <xf numFmtId="172" fontId="35" fillId="0" borderId="0" xfId="0" applyNumberFormat="1" applyFont="1" applyFill="1" applyBorder="1" applyAlignment="1">
      <alignment horizontal="center" vertical="center"/>
    </xf>
    <xf numFmtId="181" fontId="35" fillId="0" borderId="0" xfId="0" applyNumberFormat="1" applyFont="1" applyFill="1" applyBorder="1" applyAlignment="1">
      <alignment horizontal="center" vertical="center"/>
    </xf>
    <xf numFmtId="3" fontId="0" fillId="55" borderId="18" xfId="0" applyNumberFormat="1" applyFill="1" applyBorder="1" applyAlignment="1">
      <alignment horizontal="center"/>
    </xf>
    <xf numFmtId="3" fontId="0" fillId="55" borderId="33" xfId="0" applyNumberFormat="1" applyFill="1" applyBorder="1" applyAlignment="1">
      <alignment horizontal="center"/>
    </xf>
    <xf numFmtId="3" fontId="0" fillId="55" borderId="0" xfId="0" applyNumberFormat="1" applyFont="1" applyFill="1" applyBorder="1" applyAlignment="1">
      <alignment horizontal="center" vertical="top"/>
    </xf>
    <xf numFmtId="0" fontId="35" fillId="0" borderId="0" xfId="2" applyFont="1" applyAlignment="1" applyProtection="1"/>
    <xf numFmtId="0" fontId="58" fillId="0" borderId="26" xfId="2" applyFont="1" applyBorder="1" applyAlignment="1" applyProtection="1"/>
    <xf numFmtId="0" fontId="18" fillId="0" borderId="12" xfId="2" applyFont="1" applyBorder="1" applyAlignment="1" applyProtection="1"/>
    <xf numFmtId="0" fontId="58" fillId="0" borderId="12" xfId="2" applyFont="1" applyBorder="1" applyAlignment="1" applyProtection="1"/>
    <xf numFmtId="0" fontId="42" fillId="0" borderId="12" xfId="0" applyFont="1" applyFill="1" applyBorder="1" applyAlignment="1">
      <alignment horizontal="center"/>
    </xf>
    <xf numFmtId="0" fontId="0" fillId="0" borderId="0" xfId="0" applyFill="1" applyBorder="1" applyAlignment="1"/>
    <xf numFmtId="0" fontId="0" fillId="0" borderId="0" xfId="0" applyFill="1" applyAlignment="1"/>
    <xf numFmtId="0" fontId="21" fillId="0" borderId="38" xfId="0" applyFont="1" applyBorder="1" applyAlignment="1">
      <alignment horizontal="center"/>
    </xf>
    <xf numFmtId="0" fontId="0" fillId="0" borderId="42" xfId="0" applyBorder="1"/>
    <xf numFmtId="3" fontId="0" fillId="55" borderId="17" xfId="0" applyNumberFormat="1" applyFill="1" applyBorder="1" applyAlignment="1">
      <alignment horizontal="center"/>
    </xf>
    <xf numFmtId="3" fontId="0" fillId="2" borderId="7" xfId="3" applyNumberFormat="1" applyFont="1" applyFill="1" applyBorder="1" applyAlignment="1">
      <alignment horizontal="center"/>
    </xf>
    <xf numFmtId="3" fontId="0" fillId="2" borderId="41" xfId="3" applyNumberFormat="1" applyFont="1" applyFill="1" applyBorder="1" applyAlignment="1">
      <alignment horizontal="center"/>
    </xf>
    <xf numFmtId="3" fontId="0" fillId="2" borderId="5" xfId="3" applyNumberFormat="1" applyFont="1" applyFill="1" applyBorder="1" applyAlignment="1">
      <alignment horizontal="center"/>
    </xf>
    <xf numFmtId="3" fontId="0" fillId="55" borderId="20" xfId="0" applyNumberFormat="1" applyFill="1" applyBorder="1"/>
    <xf numFmtId="0" fontId="88" fillId="0" borderId="12" xfId="0" applyFont="1" applyBorder="1"/>
    <xf numFmtId="3" fontId="2" fillId="3" borderId="28" xfId="0" applyNumberFormat="1" applyFont="1" applyFill="1" applyBorder="1"/>
    <xf numFmtId="3" fontId="4" fillId="54" borderId="6" xfId="0" applyNumberFormat="1" applyFont="1" applyFill="1" applyBorder="1"/>
    <xf numFmtId="0" fontId="48" fillId="0" borderId="14" xfId="0" applyFont="1" applyBorder="1"/>
    <xf numFmtId="184" fontId="45" fillId="2" borderId="20" xfId="0" applyNumberFormat="1" applyFont="1" applyFill="1" applyBorder="1"/>
    <xf numFmtId="0" fontId="4" fillId="5" borderId="19" xfId="0" applyFont="1" applyFill="1" applyBorder="1" applyAlignment="1">
      <alignment horizontal="left"/>
    </xf>
    <xf numFmtId="0" fontId="4" fillId="5" borderId="20" xfId="0" applyFont="1" applyFill="1" applyBorder="1" applyAlignment="1">
      <alignment horizontal="left"/>
    </xf>
    <xf numFmtId="0" fontId="0" fillId="0" borderId="78" xfId="0" applyBorder="1"/>
    <xf numFmtId="0" fontId="0" fillId="0" borderId="4" xfId="0" applyBorder="1"/>
    <xf numFmtId="3" fontId="21" fillId="55" borderId="73" xfId="0" applyNumberFormat="1" applyFont="1" applyFill="1" applyBorder="1" applyAlignment="1">
      <alignment horizontal="center"/>
    </xf>
    <xf numFmtId="3" fontId="57" fillId="55" borderId="0" xfId="0" applyNumberFormat="1" applyFont="1" applyFill="1" applyBorder="1"/>
    <xf numFmtId="0" fontId="66" fillId="0" borderId="0" xfId="0" applyFont="1" applyFill="1" applyBorder="1"/>
    <xf numFmtId="0" fontId="66" fillId="0" borderId="25" xfId="0" applyFont="1" applyFill="1" applyBorder="1"/>
    <xf numFmtId="0" fontId="0" fillId="0" borderId="0" xfId="0" applyFont="1" applyFill="1" applyAlignment="1">
      <alignment vertical="center"/>
    </xf>
    <xf numFmtId="9" fontId="4" fillId="3" borderId="43" xfId="1" applyNumberFormat="1" applyFont="1" applyFill="1" applyBorder="1" applyAlignment="1">
      <alignment horizontal="center"/>
    </xf>
    <xf numFmtId="10" fontId="4" fillId="5" borderId="43" xfId="0" applyNumberFormat="1" applyFont="1" applyFill="1" applyBorder="1" applyAlignment="1">
      <alignment horizontal="center"/>
    </xf>
    <xf numFmtId="9" fontId="4" fillId="5" borderId="43" xfId="0" applyNumberFormat="1" applyFont="1" applyFill="1" applyBorder="1" applyAlignment="1">
      <alignment horizontal="center"/>
    </xf>
    <xf numFmtId="3" fontId="2" fillId="5" borderId="39" xfId="0" applyNumberFormat="1" applyFont="1" applyFill="1" applyBorder="1" applyAlignment="1">
      <alignment horizontal="right"/>
    </xf>
    <xf numFmtId="3" fontId="2" fillId="5" borderId="13" xfId="0" applyNumberFormat="1" applyFont="1" applyFill="1" applyBorder="1"/>
    <xf numFmtId="3" fontId="2" fillId="5" borderId="39" xfId="0" applyNumberFormat="1" applyFont="1" applyFill="1" applyBorder="1" applyAlignment="1">
      <alignment horizontal="center"/>
    </xf>
    <xf numFmtId="9" fontId="4" fillId="5" borderId="5" xfId="0" applyNumberFormat="1" applyFont="1" applyFill="1" applyBorder="1" applyAlignment="1">
      <alignment horizontal="center"/>
    </xf>
    <xf numFmtId="0" fontId="18" fillId="0" borderId="0" xfId="0" applyFont="1" applyFill="1" applyBorder="1" applyAlignment="1">
      <alignment horizontal="left"/>
    </xf>
    <xf numFmtId="0" fontId="108" fillId="0" borderId="0" xfId="0" applyFont="1"/>
    <xf numFmtId="0" fontId="52" fillId="0" borderId="0" xfId="0" applyFont="1"/>
    <xf numFmtId="0" fontId="53" fillId="0" borderId="0" xfId="0" applyFont="1" applyAlignment="1">
      <alignment vertical="center"/>
    </xf>
    <xf numFmtId="0" fontId="21" fillId="0" borderId="20" xfId="0" applyFont="1" applyBorder="1"/>
    <xf numFmtId="0" fontId="4" fillId="3" borderId="36" xfId="0" applyFont="1" applyFill="1" applyBorder="1" applyAlignment="1">
      <alignment horizontal="left"/>
    </xf>
    <xf numFmtId="0" fontId="4" fillId="3" borderId="19" xfId="0" applyFont="1" applyFill="1" applyBorder="1" applyAlignment="1">
      <alignment horizontal="left"/>
    </xf>
    <xf numFmtId="0" fontId="4" fillId="3" borderId="34" xfId="0" applyFont="1" applyFill="1" applyBorder="1" applyAlignment="1">
      <alignment horizontal="left"/>
    </xf>
    <xf numFmtId="0" fontId="2" fillId="3" borderId="1" xfId="0" applyFont="1" applyFill="1" applyBorder="1" applyAlignment="1">
      <alignment horizontal="center"/>
    </xf>
    <xf numFmtId="10" fontId="2" fillId="3" borderId="1" xfId="1" applyNumberFormat="1" applyFont="1" applyFill="1" applyBorder="1" applyAlignment="1">
      <alignment horizontal="center"/>
    </xf>
    <xf numFmtId="10" fontId="2" fillId="3" borderId="1" xfId="0" applyNumberFormat="1" applyFont="1" applyFill="1" applyBorder="1" applyAlignment="1">
      <alignment horizontal="center"/>
    </xf>
    <xf numFmtId="0" fontId="2" fillId="3" borderId="13" xfId="0" applyFont="1" applyFill="1" applyBorder="1" applyAlignment="1">
      <alignment horizontal="center"/>
    </xf>
    <xf numFmtId="10" fontId="2" fillId="3" borderId="13" xfId="1" applyNumberFormat="1" applyFont="1" applyFill="1" applyBorder="1" applyAlignment="1">
      <alignment horizontal="center"/>
    </xf>
    <xf numFmtId="10" fontId="2" fillId="3" borderId="13" xfId="0" applyNumberFormat="1" applyFont="1" applyFill="1" applyBorder="1" applyAlignment="1">
      <alignment horizontal="center"/>
    </xf>
    <xf numFmtId="0" fontId="0" fillId="0" borderId="0" xfId="0" applyFont="1" applyFill="1" applyBorder="1" applyAlignment="1">
      <alignment horizontal="left"/>
    </xf>
    <xf numFmtId="0" fontId="14" fillId="0" borderId="0" xfId="0" applyFont="1" applyAlignment="1">
      <alignment horizontal="center"/>
    </xf>
    <xf numFmtId="0" fontId="18" fillId="0" borderId="12" xfId="0" applyFont="1" applyBorder="1" applyAlignment="1">
      <alignment horizontal="left"/>
    </xf>
    <xf numFmtId="0" fontId="18" fillId="0" borderId="69" xfId="0" applyFont="1" applyBorder="1" applyAlignment="1">
      <alignment horizontal="left"/>
    </xf>
    <xf numFmtId="2" fontId="18" fillId="0" borderId="20" xfId="0" applyNumberFormat="1" applyFont="1" applyBorder="1" applyAlignment="1">
      <alignment horizontal="right"/>
    </xf>
    <xf numFmtId="0" fontId="18" fillId="0" borderId="35" xfId="0" applyFont="1" applyBorder="1" applyAlignment="1">
      <alignment horizontal="left"/>
    </xf>
    <xf numFmtId="2" fontId="18" fillId="0" borderId="34" xfId="0" applyNumberFormat="1" applyFont="1" applyBorder="1" applyAlignment="1">
      <alignment horizontal="right"/>
    </xf>
    <xf numFmtId="3" fontId="18" fillId="0" borderId="46" xfId="0" applyNumberFormat="1" applyFont="1" applyBorder="1" applyAlignment="1">
      <alignment horizontal="right"/>
    </xf>
    <xf numFmtId="3" fontId="18" fillId="0" borderId="20" xfId="0" applyNumberFormat="1" applyFont="1" applyBorder="1" applyAlignment="1">
      <alignment horizontal="right"/>
    </xf>
    <xf numFmtId="3" fontId="18" fillId="0" borderId="34" xfId="0" applyNumberFormat="1" applyFont="1" applyBorder="1" applyAlignment="1">
      <alignment horizontal="right"/>
    </xf>
    <xf numFmtId="3" fontId="46" fillId="2" borderId="10" xfId="0" applyNumberFormat="1" applyFont="1" applyFill="1" applyBorder="1"/>
    <xf numFmtId="168" fontId="0" fillId="0" borderId="32" xfId="0" applyNumberFormat="1" applyBorder="1"/>
    <xf numFmtId="2" fontId="0" fillId="0" borderId="14" xfId="0" applyNumberFormat="1" applyBorder="1"/>
    <xf numFmtId="0" fontId="18" fillId="0" borderId="6" xfId="0" applyFont="1" applyBorder="1" applyAlignment="1">
      <alignment horizontal="center" vertical="center" wrapText="1"/>
    </xf>
    <xf numFmtId="168" fontId="18" fillId="0" borderId="6" xfId="0" applyNumberFormat="1" applyFont="1" applyBorder="1" applyAlignment="1">
      <alignment horizontal="center" vertical="center"/>
    </xf>
    <xf numFmtId="9" fontId="0" fillId="2" borderId="20" xfId="1" applyFont="1" applyFill="1" applyBorder="1"/>
    <xf numFmtId="0" fontId="89" fillId="0" borderId="0" xfId="0" applyFont="1"/>
    <xf numFmtId="3" fontId="0" fillId="2" borderId="46" xfId="0" applyNumberFormat="1" applyFont="1" applyFill="1" applyBorder="1"/>
    <xf numFmtId="1" fontId="0" fillId="2" borderId="20" xfId="0" applyNumberFormat="1" applyFill="1" applyBorder="1"/>
    <xf numFmtId="3" fontId="0" fillId="0" borderId="19" xfId="0" applyNumberFormat="1" applyFont="1" applyFill="1" applyBorder="1"/>
    <xf numFmtId="3" fontId="0" fillId="0" borderId="23" xfId="0" applyNumberFormat="1" applyFont="1" applyFill="1" applyBorder="1"/>
    <xf numFmtId="180" fontId="23" fillId="0" borderId="20" xfId="3" applyNumberFormat="1" applyFont="1" applyFill="1" applyBorder="1"/>
    <xf numFmtId="3" fontId="0" fillId="0" borderId="46" xfId="0" applyNumberFormat="1" applyFont="1" applyFill="1" applyBorder="1"/>
    <xf numFmtId="180" fontId="0" fillId="0" borderId="0" xfId="3" applyNumberFormat="1" applyFont="1" applyBorder="1"/>
    <xf numFmtId="0" fontId="4" fillId="54" borderId="23" xfId="0" applyFont="1" applyFill="1" applyBorder="1" applyAlignment="1">
      <alignment horizontal="right"/>
    </xf>
    <xf numFmtId="3" fontId="4" fillId="54" borderId="66" xfId="0" applyNumberFormat="1" applyFont="1" applyFill="1" applyBorder="1" applyAlignment="1">
      <alignment horizontal="right"/>
    </xf>
    <xf numFmtId="3" fontId="2" fillId="3" borderId="44" xfId="0" applyNumberFormat="1" applyFont="1" applyFill="1" applyBorder="1" applyAlignment="1">
      <alignment horizontal="right"/>
    </xf>
    <xf numFmtId="3" fontId="2" fillId="3" borderId="41" xfId="0" applyNumberFormat="1" applyFont="1" applyFill="1" applyBorder="1" applyAlignment="1">
      <alignment horizontal="right"/>
    </xf>
    <xf numFmtId="4" fontId="4" fillId="54" borderId="43" xfId="0" applyNumberFormat="1" applyFont="1" applyFill="1" applyBorder="1" applyAlignment="1">
      <alignment horizontal="right"/>
    </xf>
    <xf numFmtId="3" fontId="2" fillId="3" borderId="5" xfId="0" applyNumberFormat="1" applyFont="1" applyFill="1" applyBorder="1" applyAlignment="1">
      <alignment horizontal="right"/>
    </xf>
    <xf numFmtId="0" fontId="4" fillId="54" borderId="16" xfId="0" applyFont="1" applyFill="1" applyBorder="1" applyAlignment="1">
      <alignment horizontal="center"/>
    </xf>
    <xf numFmtId="0" fontId="2" fillId="3" borderId="0" xfId="0" applyFont="1" applyFill="1" applyBorder="1" applyAlignment="1">
      <alignment horizontal="center"/>
    </xf>
    <xf numFmtId="3" fontId="2" fillId="3" borderId="72" xfId="0" applyNumberFormat="1" applyFont="1" applyFill="1" applyBorder="1"/>
    <xf numFmtId="3" fontId="2" fillId="3" borderId="14" xfId="0" applyNumberFormat="1" applyFont="1" applyFill="1" applyBorder="1"/>
    <xf numFmtId="3" fontId="4" fillId="54" borderId="77" xfId="0" applyNumberFormat="1" applyFont="1" applyFill="1" applyBorder="1"/>
    <xf numFmtId="10" fontId="4" fillId="54" borderId="16" xfId="0" applyNumberFormat="1" applyFont="1" applyFill="1" applyBorder="1" applyAlignment="1">
      <alignment horizontal="center"/>
    </xf>
    <xf numFmtId="10" fontId="2" fillId="3" borderId="44" xfId="0" applyNumberFormat="1" applyFont="1" applyFill="1" applyBorder="1" applyAlignment="1">
      <alignment horizontal="center"/>
    </xf>
    <xf numFmtId="4" fontId="4" fillId="54" borderId="11" xfId="1" applyNumberFormat="1" applyFont="1" applyFill="1" applyBorder="1" applyAlignment="1">
      <alignment horizontal="center"/>
    </xf>
    <xf numFmtId="10" fontId="2" fillId="3" borderId="0" xfId="0" applyNumberFormat="1" applyFont="1" applyFill="1" applyBorder="1" applyAlignment="1">
      <alignment horizontal="center"/>
    </xf>
    <xf numFmtId="0" fontId="24" fillId="0" borderId="0" xfId="2" applyAlignment="1" applyProtection="1">
      <alignment horizontal="left" vertical="center" indent="3"/>
    </xf>
    <xf numFmtId="0" fontId="72" fillId="18" borderId="7" xfId="0" applyFont="1" applyFill="1" applyBorder="1" applyAlignment="1">
      <alignment horizontal="left" vertical="center"/>
    </xf>
    <xf numFmtId="0" fontId="2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5" fillId="0" borderId="0" xfId="0" applyFont="1" applyBorder="1" applyAlignment="1">
      <alignment horizontal="center" vertical="center"/>
    </xf>
    <xf numFmtId="0" fontId="0" fillId="0" borderId="0" xfId="0" applyFont="1" applyBorder="1" applyAlignment="1">
      <alignment horizontal="center" vertical="center"/>
    </xf>
    <xf numFmtId="0" fontId="35"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Fill="1" applyBorder="1" applyAlignment="1">
      <alignment wrapText="1"/>
    </xf>
    <xf numFmtId="3" fontId="0" fillId="0" borderId="0" xfId="0" applyNumberFormat="1" applyFont="1" applyBorder="1" applyAlignment="1">
      <alignment vertical="center"/>
    </xf>
    <xf numFmtId="3" fontId="0" fillId="0" borderId="0" xfId="0" applyNumberFormat="1" applyFont="1" applyFill="1" applyBorder="1" applyAlignment="1">
      <alignment vertical="center"/>
    </xf>
    <xf numFmtId="3" fontId="0" fillId="0" borderId="1" xfId="0" applyNumberFormat="1" applyFont="1" applyBorder="1" applyAlignment="1">
      <alignment vertical="center"/>
    </xf>
    <xf numFmtId="3" fontId="14" fillId="0" borderId="0" xfId="0" applyNumberFormat="1" applyFont="1" applyBorder="1" applyAlignment="1">
      <alignment vertical="center"/>
    </xf>
    <xf numFmtId="0" fontId="67" fillId="0" borderId="0" xfId="0" applyFont="1" applyAlignment="1">
      <alignment vertical="center"/>
    </xf>
    <xf numFmtId="0" fontId="18" fillId="0" borderId="0" xfId="0" applyFont="1" applyAlignment="1" applyProtection="1">
      <alignment vertical="center"/>
      <protection locked="0"/>
    </xf>
    <xf numFmtId="3" fontId="35" fillId="6" borderId="8" xfId="0" applyNumberFormat="1" applyFont="1" applyFill="1" applyBorder="1" applyAlignment="1">
      <alignment horizontal="right" vertical="center"/>
    </xf>
    <xf numFmtId="3" fontId="35" fillId="0" borderId="8" xfId="0" applyNumberFormat="1" applyFont="1" applyFill="1" applyBorder="1" applyAlignment="1" applyProtection="1">
      <alignment horizontal="right" vertical="top"/>
    </xf>
    <xf numFmtId="171" fontId="35" fillId="9" borderId="8" xfId="0" applyNumberFormat="1" applyFont="1" applyFill="1" applyBorder="1" applyAlignment="1" applyProtection="1">
      <alignment horizontal="right" vertical="top"/>
    </xf>
    <xf numFmtId="0" fontId="32" fillId="0" borderId="22" xfId="0" applyFont="1" applyBorder="1" applyAlignment="1">
      <alignment horizontal="center"/>
    </xf>
    <xf numFmtId="0" fontId="32" fillId="0" borderId="62" xfId="0" applyFont="1" applyBorder="1" applyAlignment="1">
      <alignment horizontal="center"/>
    </xf>
    <xf numFmtId="0" fontId="0" fillId="0" borderId="21" xfId="0" applyFill="1" applyBorder="1" applyAlignment="1">
      <alignment horizontal="left"/>
    </xf>
    <xf numFmtId="3" fontId="0" fillId="0" borderId="61" xfId="0" applyNumberFormat="1" applyBorder="1" applyAlignment="1">
      <alignment horizontal="center"/>
    </xf>
    <xf numFmtId="0" fontId="21" fillId="0" borderId="42" xfId="0" applyFont="1" applyFill="1" applyBorder="1" applyAlignment="1">
      <alignment horizontal="left"/>
    </xf>
    <xf numFmtId="3" fontId="21" fillId="0" borderId="43" xfId="0" applyNumberFormat="1" applyFont="1" applyFill="1" applyBorder="1" applyAlignment="1">
      <alignment horizontal="center"/>
    </xf>
    <xf numFmtId="3" fontId="21" fillId="0" borderId="63" xfId="0" applyNumberFormat="1" applyFont="1" applyFill="1" applyBorder="1" applyAlignment="1">
      <alignment horizontal="center"/>
    </xf>
    <xf numFmtId="0" fontId="35" fillId="0" borderId="0" xfId="0" applyFont="1"/>
    <xf numFmtId="1" fontId="18" fillId="0" borderId="1" xfId="0" applyNumberFormat="1" applyFont="1" applyFill="1" applyBorder="1"/>
    <xf numFmtId="3" fontId="18" fillId="0" borderId="0" xfId="0" applyNumberFormat="1" applyFont="1" applyFill="1" applyBorder="1"/>
    <xf numFmtId="2" fontId="18" fillId="0" borderId="0" xfId="0" applyNumberFormat="1" applyFont="1" applyFill="1" applyBorder="1"/>
    <xf numFmtId="1" fontId="18" fillId="0" borderId="0" xfId="0" applyNumberFormat="1" applyFont="1" applyFill="1" applyBorder="1"/>
    <xf numFmtId="169" fontId="18" fillId="0" borderId="0" xfId="0" applyNumberFormat="1" applyFont="1" applyFill="1" applyBorder="1"/>
    <xf numFmtId="168" fontId="35" fillId="0" borderId="0" xfId="0" applyNumberFormat="1" applyFont="1" applyFill="1" applyBorder="1" applyAlignment="1" applyProtection="1">
      <alignment vertical="top"/>
      <protection locked="0"/>
    </xf>
    <xf numFmtId="169" fontId="18" fillId="0" borderId="0" xfId="0" applyNumberFormat="1" applyFont="1" applyFill="1" applyBorder="1" applyAlignment="1"/>
    <xf numFmtId="169" fontId="35" fillId="0" borderId="0" xfId="0" applyNumberFormat="1" applyFont="1" applyFill="1" applyBorder="1" applyAlignment="1"/>
    <xf numFmtId="0" fontId="73" fillId="6" borderId="8" xfId="0" applyFont="1" applyFill="1" applyBorder="1"/>
    <xf numFmtId="0" fontId="73" fillId="9" borderId="8" xfId="0" applyFont="1" applyFill="1" applyBorder="1"/>
    <xf numFmtId="0" fontId="35"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3" fontId="0" fillId="0" borderId="0" xfId="0" applyNumberFormat="1" applyFont="1" applyFill="1" applyBorder="1" applyAlignment="1"/>
    <xf numFmtId="3" fontId="35" fillId="6" borderId="8" xfId="0" applyNumberFormat="1" applyFont="1" applyFill="1" applyBorder="1" applyAlignment="1" applyProtection="1">
      <alignment horizontal="right" vertical="center"/>
      <protection locked="0"/>
    </xf>
    <xf numFmtId="3" fontId="35" fillId="0" borderId="8" xfId="0" applyNumberFormat="1" applyFont="1" applyFill="1" applyBorder="1" applyAlignment="1" applyProtection="1">
      <alignment horizontal="right" vertical="center"/>
    </xf>
    <xf numFmtId="0" fontId="35" fillId="0" borderId="50" xfId="0" applyFont="1" applyFill="1" applyBorder="1" applyAlignment="1">
      <alignment vertical="center"/>
    </xf>
    <xf numFmtId="171" fontId="35" fillId="9" borderId="8" xfId="0" applyNumberFormat="1" applyFont="1" applyFill="1" applyBorder="1" applyAlignment="1" applyProtection="1">
      <alignment horizontal="right" vertical="center"/>
    </xf>
    <xf numFmtId="0" fontId="35" fillId="9" borderId="9" xfId="0" applyFont="1" applyFill="1" applyBorder="1" applyAlignment="1">
      <alignment vertical="center"/>
    </xf>
    <xf numFmtId="3" fontId="35" fillId="0" borderId="0" xfId="0" applyNumberFormat="1" applyFont="1" applyFill="1" applyBorder="1" applyAlignment="1" applyProtection="1">
      <alignment vertical="top"/>
    </xf>
    <xf numFmtId="3" fontId="18" fillId="2" borderId="0" xfId="0" applyNumberFormat="1" applyFont="1" applyFill="1" applyBorder="1"/>
    <xf numFmtId="0" fontId="2" fillId="0" borderId="0" xfId="0" applyFont="1" applyFill="1" applyBorder="1" applyAlignment="1"/>
    <xf numFmtId="1" fontId="18" fillId="0" borderId="0" xfId="0" applyNumberFormat="1" applyFont="1" applyFill="1" applyBorder="1" applyAlignment="1">
      <alignment horizontal="center"/>
    </xf>
    <xf numFmtId="4" fontId="18" fillId="0" borderId="0" xfId="0" applyNumberFormat="1" applyFont="1" applyFill="1" applyBorder="1" applyAlignment="1">
      <alignment horizontal="center"/>
    </xf>
    <xf numFmtId="0" fontId="14" fillId="9" borderId="8" xfId="0" applyFont="1" applyFill="1" applyBorder="1" applyAlignment="1"/>
    <xf numFmtId="0" fontId="14" fillId="0" borderId="0" xfId="0" applyFont="1" applyFill="1" applyBorder="1" applyAlignment="1"/>
    <xf numFmtId="0" fontId="14" fillId="6" borderId="8" xfId="0" applyFont="1" applyFill="1" applyBorder="1" applyAlignment="1"/>
    <xf numFmtId="0" fontId="14" fillId="6" borderId="9" xfId="0" applyFont="1" applyFill="1" applyBorder="1" applyAlignment="1"/>
    <xf numFmtId="0" fontId="14" fillId="0" borderId="12" xfId="0" applyFont="1" applyFill="1" applyBorder="1" applyAlignment="1"/>
    <xf numFmtId="0" fontId="14" fillId="9" borderId="9" xfId="0" applyFont="1" applyFill="1" applyBorder="1" applyAlignment="1"/>
    <xf numFmtId="0" fontId="34" fillId="6" borderId="10" xfId="0" applyFont="1" applyFill="1" applyBorder="1"/>
    <xf numFmtId="0" fontId="35" fillId="6" borderId="8" xfId="0" applyFont="1" applyFill="1" applyBorder="1" applyAlignment="1"/>
    <xf numFmtId="0" fontId="35" fillId="9" borderId="8" xfId="0" applyFont="1" applyFill="1" applyBorder="1" applyAlignment="1"/>
    <xf numFmtId="3" fontId="35" fillId="6" borderId="10" xfId="0" applyNumberFormat="1" applyFont="1" applyFill="1" applyBorder="1"/>
    <xf numFmtId="0" fontId="35" fillId="6" borderId="9" xfId="0" applyFont="1" applyFill="1" applyBorder="1" applyAlignment="1"/>
    <xf numFmtId="3" fontId="35" fillId="0" borderId="10" xfId="0" applyNumberFormat="1" applyFont="1" applyFill="1" applyBorder="1"/>
    <xf numFmtId="171" fontId="35" fillId="9" borderId="10" xfId="0" applyNumberFormat="1" applyFont="1" applyFill="1" applyBorder="1"/>
    <xf numFmtId="0" fontId="35" fillId="9" borderId="9" xfId="0" applyFont="1" applyFill="1" applyBorder="1" applyAlignment="1"/>
    <xf numFmtId="0" fontId="35" fillId="0" borderId="8" xfId="0" applyFont="1" applyFill="1" applyBorder="1" applyAlignment="1">
      <alignment horizontal="left"/>
    </xf>
    <xf numFmtId="3" fontId="35" fillId="6" borderId="10" xfId="0" applyNumberFormat="1" applyFont="1" applyFill="1" applyBorder="1" applyAlignment="1" applyProtection="1">
      <alignment vertical="top"/>
      <protection locked="0"/>
    </xf>
    <xf numFmtId="3" fontId="35" fillId="0" borderId="20" xfId="0" applyNumberFormat="1" applyFont="1" applyFill="1" applyBorder="1" applyAlignment="1" applyProtection="1">
      <alignment vertical="top"/>
    </xf>
    <xf numFmtId="4" fontId="35" fillId="9" borderId="10" xfId="0" applyNumberFormat="1" applyFont="1" applyFill="1" applyBorder="1" applyAlignment="1" applyProtection="1">
      <alignment vertical="top"/>
    </xf>
    <xf numFmtId="0" fontId="34" fillId="9" borderId="10" xfId="0" applyFont="1" applyFill="1" applyBorder="1"/>
    <xf numFmtId="0" fontId="65" fillId="0" borderId="0" xfId="0" applyFont="1" applyBorder="1"/>
    <xf numFmtId="168" fontId="0" fillId="0" borderId="14" xfId="0" applyNumberFormat="1" applyBorder="1"/>
    <xf numFmtId="0" fontId="0" fillId="10" borderId="21" xfId="0" applyFill="1" applyBorder="1"/>
    <xf numFmtId="0" fontId="0" fillId="0" borderId="38" xfId="0" applyBorder="1"/>
    <xf numFmtId="0" fontId="21" fillId="2" borderId="64" xfId="0" applyFont="1" applyFill="1" applyBorder="1" applyAlignment="1">
      <alignment horizontal="center"/>
    </xf>
    <xf numFmtId="0" fontId="0" fillId="0" borderId="21" xfId="0" applyBorder="1"/>
    <xf numFmtId="0" fontId="21" fillId="2" borderId="61" xfId="0" applyFont="1" applyFill="1" applyBorder="1" applyAlignment="1">
      <alignment horizontal="center"/>
    </xf>
    <xf numFmtId="0" fontId="21" fillId="2" borderId="63" xfId="0" applyFont="1" applyFill="1" applyBorder="1" applyAlignment="1">
      <alignment horizontal="center"/>
    </xf>
    <xf numFmtId="0" fontId="0" fillId="58" borderId="21" xfId="0" applyFill="1" applyBorder="1"/>
    <xf numFmtId="0" fontId="18" fillId="59" borderId="21" xfId="0" applyFont="1" applyFill="1" applyBorder="1"/>
    <xf numFmtId="0" fontId="0" fillId="6" borderId="21" xfId="0" applyFill="1" applyBorder="1"/>
    <xf numFmtId="0" fontId="0" fillId="50" borderId="42" xfId="0" applyFill="1" applyBorder="1"/>
    <xf numFmtId="0" fontId="36" fillId="12" borderId="39" xfId="0" applyFont="1" applyFill="1" applyBorder="1"/>
    <xf numFmtId="0" fontId="10" fillId="0" borderId="33" xfId="0" applyFont="1" applyBorder="1" applyAlignment="1">
      <alignment horizontal="center"/>
    </xf>
    <xf numFmtId="0" fontId="23" fillId="0" borderId="4" xfId="0" applyFont="1" applyBorder="1" applyAlignment="1">
      <alignment horizontal="center" vertical="center"/>
    </xf>
    <xf numFmtId="0" fontId="2" fillId="0" borderId="33" xfId="0" applyFont="1" applyBorder="1" applyAlignment="1" applyProtection="1">
      <alignment horizontal="center" vertical="top"/>
      <protection locked="0"/>
    </xf>
    <xf numFmtId="0" fontId="4" fillId="0" borderId="4" xfId="0" applyFont="1" applyBorder="1" applyAlignment="1" applyProtection="1">
      <alignment horizontal="center" vertical="center"/>
      <protection locked="0"/>
    </xf>
    <xf numFmtId="0" fontId="0" fillId="6" borderId="13" xfId="0" applyFill="1" applyBorder="1"/>
    <xf numFmtId="0" fontId="23" fillId="6" borderId="13" xfId="0" applyFont="1" applyFill="1" applyBorder="1"/>
    <xf numFmtId="0" fontId="23" fillId="6" borderId="26" xfId="0" applyFont="1" applyFill="1" applyBorder="1" applyAlignment="1">
      <alignment horizontal="right"/>
    </xf>
    <xf numFmtId="0" fontId="23" fillId="0" borderId="12" xfId="0" applyFont="1" applyFill="1" applyBorder="1" applyAlignment="1">
      <alignment horizontal="right"/>
    </xf>
    <xf numFmtId="3" fontId="2" fillId="5" borderId="5" xfId="0" applyNumberFormat="1" applyFont="1" applyFill="1" applyBorder="1"/>
    <xf numFmtId="0" fontId="23" fillId="2" borderId="0" xfId="0" applyFont="1" applyFill="1" applyBorder="1" applyAlignment="1">
      <alignment horizontal="right"/>
    </xf>
    <xf numFmtId="180" fontId="2" fillId="0" borderId="32" xfId="0" applyNumberFormat="1" applyFont="1" applyFill="1" applyBorder="1" applyAlignment="1"/>
    <xf numFmtId="0" fontId="10" fillId="2" borderId="0" xfId="0" applyFont="1" applyFill="1" applyBorder="1" applyAlignment="1">
      <alignment horizontal="left"/>
    </xf>
    <xf numFmtId="0" fontId="23" fillId="0" borderId="8" xfId="0" applyFont="1" applyFill="1" applyBorder="1" applyAlignment="1">
      <alignment horizontal="left"/>
    </xf>
    <xf numFmtId="0" fontId="23" fillId="0" borderId="9" xfId="0" applyFont="1" applyFill="1" applyBorder="1" applyAlignment="1">
      <alignment horizontal="left"/>
    </xf>
    <xf numFmtId="3" fontId="4" fillId="55" borderId="10" xfId="0" applyNumberFormat="1" applyFont="1" applyFill="1" applyBorder="1" applyAlignment="1"/>
    <xf numFmtId="0" fontId="111" fillId="0" borderId="0" xfId="0" applyFont="1" applyBorder="1"/>
    <xf numFmtId="0" fontId="21" fillId="0" borderId="64" xfId="0" applyFont="1" applyFill="1" applyBorder="1" applyAlignment="1">
      <alignment horizontal="center" wrapText="1"/>
    </xf>
    <xf numFmtId="0" fontId="21" fillId="0" borderId="60" xfId="0" applyFont="1" applyFill="1" applyBorder="1" applyAlignment="1">
      <alignment horizontal="center" wrapText="1"/>
    </xf>
    <xf numFmtId="2" fontId="57" fillId="55" borderId="6" xfId="0" applyNumberFormat="1" applyFont="1" applyFill="1" applyBorder="1" applyAlignment="1">
      <alignment horizontal="center"/>
    </xf>
    <xf numFmtId="3" fontId="0" fillId="0" borderId="32" xfId="0" applyNumberFormat="1" applyBorder="1"/>
    <xf numFmtId="3" fontId="18" fillId="0" borderId="27" xfId="0" applyNumberFormat="1" applyFont="1" applyFill="1" applyBorder="1" applyAlignment="1">
      <alignment horizontal="right"/>
    </xf>
    <xf numFmtId="0" fontId="18" fillId="0" borderId="30" xfId="0" applyFont="1" applyFill="1" applyBorder="1" applyAlignment="1">
      <alignment horizontal="left"/>
    </xf>
    <xf numFmtId="3" fontId="2" fillId="5" borderId="17" xfId="0" applyNumberFormat="1" applyFont="1" applyFill="1" applyBorder="1" applyAlignment="1">
      <alignment horizontal="right"/>
    </xf>
    <xf numFmtId="180" fontId="4" fillId="57" borderId="43" xfId="3" applyNumberFormat="1" applyFont="1" applyFill="1" applyBorder="1" applyAlignment="1">
      <alignment horizontal="right"/>
    </xf>
    <xf numFmtId="3" fontId="2" fillId="5" borderId="4" xfId="0" applyNumberFormat="1" applyFont="1" applyFill="1" applyBorder="1" applyAlignment="1">
      <alignment horizontal="right"/>
    </xf>
    <xf numFmtId="3" fontId="4" fillId="57" borderId="71" xfId="0" applyNumberFormat="1" applyFont="1" applyFill="1" applyBorder="1" applyAlignment="1">
      <alignment horizontal="right"/>
    </xf>
    <xf numFmtId="0" fontId="18" fillId="0" borderId="7" xfId="0" applyFont="1" applyBorder="1" applyAlignment="1">
      <alignment horizontal="center"/>
    </xf>
    <xf numFmtId="0" fontId="18" fillId="0" borderId="41" xfId="0" applyFont="1" applyBorder="1" applyAlignment="1">
      <alignment horizontal="center"/>
    </xf>
    <xf numFmtId="0" fontId="18" fillId="0" borderId="5" xfId="0" applyFont="1" applyBorder="1" applyAlignment="1">
      <alignment horizontal="center"/>
    </xf>
    <xf numFmtId="0" fontId="2" fillId="0" borderId="18" xfId="0" applyFont="1" applyBorder="1" applyAlignment="1" applyProtection="1">
      <alignment horizontal="center" vertical="top"/>
      <protection locked="0"/>
    </xf>
    <xf numFmtId="10" fontId="0" fillId="2" borderId="6" xfId="0" applyNumberFormat="1" applyFill="1" applyBorder="1" applyAlignment="1">
      <alignment horizontal="center"/>
    </xf>
    <xf numFmtId="10" fontId="0" fillId="2" borderId="3" xfId="0" applyNumberFormat="1" applyFill="1" applyBorder="1" applyAlignment="1">
      <alignment horizontal="center"/>
    </xf>
    <xf numFmtId="10" fontId="0" fillId="2" borderId="15" xfId="0" applyNumberFormat="1" applyFill="1" applyBorder="1" applyAlignment="1">
      <alignment horizontal="center"/>
    </xf>
    <xf numFmtId="9" fontId="0" fillId="55" borderId="43" xfId="1" applyFont="1" applyFill="1" applyBorder="1" applyAlignment="1">
      <alignment horizontal="center"/>
    </xf>
    <xf numFmtId="188" fontId="0" fillId="55" borderId="63" xfId="0" applyNumberFormat="1" applyFill="1" applyBorder="1" applyAlignment="1">
      <alignment horizontal="center"/>
    </xf>
    <xf numFmtId="0" fontId="21" fillId="0" borderId="0" xfId="0" applyFont="1" applyBorder="1" applyAlignment="1">
      <alignment horizontal="right"/>
    </xf>
    <xf numFmtId="0" fontId="10" fillId="0" borderId="0" xfId="0" applyNumberFormat="1" applyFont="1" applyAlignment="1">
      <alignment vertical="top"/>
    </xf>
    <xf numFmtId="0" fontId="10" fillId="0" borderId="0" xfId="0" applyFont="1" applyAlignment="1"/>
    <xf numFmtId="0" fontId="112" fillId="0" borderId="0" xfId="0" applyFont="1"/>
    <xf numFmtId="0" fontId="48" fillId="0" borderId="0" xfId="0" applyFont="1" applyFill="1" applyBorder="1" applyAlignment="1">
      <alignment horizontal="left"/>
    </xf>
    <xf numFmtId="0" fontId="116" fillId="60" borderId="38" xfId="0" applyFont="1" applyFill="1" applyBorder="1"/>
    <xf numFmtId="0" fontId="116" fillId="60" borderId="60" xfId="0" applyFont="1" applyFill="1" applyBorder="1"/>
    <xf numFmtId="0" fontId="116" fillId="60" borderId="64" xfId="0" applyFont="1" applyFill="1" applyBorder="1" applyAlignment="1">
      <alignment horizontal="left"/>
    </xf>
    <xf numFmtId="0" fontId="116" fillId="60" borderId="38" xfId="0" applyFont="1" applyFill="1" applyBorder="1" applyAlignment="1">
      <alignment vertical="center"/>
    </xf>
    <xf numFmtId="0" fontId="116" fillId="60" borderId="60" xfId="0" applyFont="1" applyFill="1" applyBorder="1" applyAlignment="1">
      <alignment vertical="center"/>
    </xf>
    <xf numFmtId="0" fontId="116" fillId="60" borderId="64" xfId="0" applyFont="1" applyFill="1" applyBorder="1" applyAlignment="1">
      <alignment vertical="center"/>
    </xf>
    <xf numFmtId="0" fontId="0" fillId="11" borderId="0" xfId="0" applyFill="1"/>
    <xf numFmtId="0" fontId="114" fillId="11" borderId="0" xfId="0" applyFont="1" applyFill="1"/>
    <xf numFmtId="0" fontId="112" fillId="11" borderId="0" xfId="0" applyFont="1" applyFill="1"/>
    <xf numFmtId="0" fontId="113" fillId="11" borderId="0" xfId="0" applyFont="1" applyFill="1"/>
    <xf numFmtId="0" fontId="0" fillId="11" borderId="0" xfId="0" applyFill="1" applyBorder="1"/>
    <xf numFmtId="43" fontId="48" fillId="11" borderId="0" xfId="0" applyNumberFormat="1" applyFont="1" applyFill="1" applyBorder="1"/>
    <xf numFmtId="0" fontId="0" fillId="51" borderId="0" xfId="0" applyFill="1"/>
    <xf numFmtId="0" fontId="26" fillId="51" borderId="0" xfId="0" applyFont="1" applyFill="1" applyAlignment="1"/>
    <xf numFmtId="0" fontId="107" fillId="51" borderId="0" xfId="0" applyFont="1" applyFill="1"/>
    <xf numFmtId="0" fontId="21" fillId="51" borderId="0" xfId="0" applyFont="1" applyFill="1" applyBorder="1" applyAlignment="1">
      <alignment horizontal="left"/>
    </xf>
    <xf numFmtId="43" fontId="0" fillId="51" borderId="0" xfId="0" applyNumberFormat="1" applyFont="1" applyFill="1" applyBorder="1"/>
    <xf numFmtId="0" fontId="0" fillId="51" borderId="0" xfId="0" applyFont="1" applyFill="1" applyBorder="1" applyAlignment="1">
      <alignment horizontal="left"/>
    </xf>
    <xf numFmtId="0" fontId="0" fillId="51" borderId="0" xfId="0" applyFill="1" applyBorder="1"/>
    <xf numFmtId="0" fontId="108" fillId="51" borderId="0" xfId="0" applyFont="1" applyFill="1" applyBorder="1"/>
    <xf numFmtId="0" fontId="108" fillId="51" borderId="0" xfId="0" applyFont="1" applyFill="1" applyAlignment="1"/>
    <xf numFmtId="0" fontId="52" fillId="51" borderId="16" xfId="0" applyFont="1" applyFill="1" applyBorder="1" applyAlignment="1"/>
    <xf numFmtId="0" fontId="118" fillId="11" borderId="45" xfId="0" applyFont="1" applyFill="1" applyBorder="1" applyAlignment="1">
      <alignment horizontal="center" vertical="center"/>
    </xf>
    <xf numFmtId="0" fontId="116" fillId="59" borderId="45" xfId="0" applyFont="1" applyFill="1" applyBorder="1" applyAlignment="1">
      <alignment horizontal="center" vertical="center"/>
    </xf>
    <xf numFmtId="0" fontId="116" fillId="51" borderId="0" xfId="0" applyFont="1" applyFill="1" applyBorder="1" applyAlignment="1">
      <alignment horizontal="center"/>
    </xf>
    <xf numFmtId="0" fontId="116" fillId="6" borderId="45" xfId="0" applyFont="1" applyFill="1" applyBorder="1" applyAlignment="1">
      <alignment horizontal="center" vertical="center"/>
    </xf>
    <xf numFmtId="0" fontId="116" fillId="10" borderId="45" xfId="0" applyFont="1" applyFill="1" applyBorder="1" applyAlignment="1">
      <alignment horizontal="center" vertical="center"/>
    </xf>
    <xf numFmtId="0" fontId="116" fillId="50" borderId="45" xfId="0" applyFont="1" applyFill="1" applyBorder="1" applyAlignment="1">
      <alignment horizontal="center" vertical="center"/>
    </xf>
    <xf numFmtId="0" fontId="116" fillId="58" borderId="45" xfId="0" applyFont="1" applyFill="1" applyBorder="1" applyAlignment="1">
      <alignment horizontal="center" vertical="center"/>
    </xf>
    <xf numFmtId="0" fontId="0" fillId="51" borderId="0" xfId="0" applyFont="1" applyFill="1"/>
    <xf numFmtId="0" fontId="0" fillId="51" borderId="0" xfId="0" applyFont="1" applyFill="1" applyBorder="1"/>
    <xf numFmtId="0" fontId="119" fillId="51" borderId="0" xfId="0" applyFont="1" applyFill="1" applyAlignment="1"/>
    <xf numFmtId="0" fontId="120" fillId="51" borderId="0" xfId="0" applyFont="1" applyFill="1"/>
    <xf numFmtId="0" fontId="121" fillId="51" borderId="0" xfId="0" applyFont="1" applyFill="1" applyAlignment="1"/>
    <xf numFmtId="0" fontId="119" fillId="51" borderId="0" xfId="0" applyFont="1" applyFill="1"/>
    <xf numFmtId="0" fontId="122" fillId="11" borderId="0" xfId="0" applyFont="1" applyFill="1"/>
    <xf numFmtId="0" fontId="116" fillId="51" borderId="0" xfId="0" applyFont="1" applyFill="1" applyBorder="1"/>
    <xf numFmtId="0" fontId="21" fillId="51" borderId="0" xfId="0" applyFont="1" applyFill="1" applyBorder="1"/>
    <xf numFmtId="0" fontId="52" fillId="51" borderId="0" xfId="0" applyFont="1" applyFill="1"/>
    <xf numFmtId="0" fontId="109" fillId="11" borderId="24" xfId="0" applyFont="1" applyFill="1" applyBorder="1"/>
    <xf numFmtId="0" fontId="0" fillId="11" borderId="24" xfId="0" applyFill="1" applyBorder="1"/>
    <xf numFmtId="0" fontId="0" fillId="11" borderId="20" xfId="0" applyFill="1" applyBorder="1"/>
    <xf numFmtId="0" fontId="0" fillId="11" borderId="12" xfId="0" applyFill="1" applyBorder="1" applyAlignment="1">
      <alignment horizontal="center"/>
    </xf>
    <xf numFmtId="0" fontId="0" fillId="11" borderId="67" xfId="0" applyFill="1" applyBorder="1" applyAlignment="1">
      <alignment horizontal="left" vertical="center"/>
    </xf>
    <xf numFmtId="0" fontId="0" fillId="11" borderId="30" xfId="0" applyFill="1" applyBorder="1" applyAlignment="1">
      <alignment horizontal="left" vertical="center"/>
    </xf>
    <xf numFmtId="0" fontId="108" fillId="51" borderId="0" xfId="0" applyFont="1" applyFill="1" applyAlignment="1">
      <alignment vertical="center"/>
    </xf>
    <xf numFmtId="0" fontId="26" fillId="51" borderId="0" xfId="0" applyFont="1" applyFill="1" applyBorder="1" applyAlignment="1">
      <alignment vertical="center"/>
    </xf>
    <xf numFmtId="0" fontId="35" fillId="3" borderId="6" xfId="0" applyFont="1" applyFill="1" applyBorder="1" applyAlignment="1">
      <alignment horizontal="left"/>
    </xf>
    <xf numFmtId="0" fontId="35" fillId="4" borderId="6" xfId="0" applyFont="1" applyFill="1" applyBorder="1" applyAlignment="1">
      <alignment horizontal="left"/>
    </xf>
    <xf numFmtId="0" fontId="35" fillId="5" borderId="6" xfId="0" applyFont="1" applyFill="1" applyBorder="1" applyAlignment="1">
      <alignment horizontal="left"/>
    </xf>
    <xf numFmtId="0" fontId="35" fillId="4" borderId="21" xfId="0" applyFont="1" applyFill="1" applyBorder="1" applyAlignment="1">
      <alignment horizontal="left"/>
    </xf>
    <xf numFmtId="0" fontId="35" fillId="3" borderId="21" xfId="0" applyFont="1" applyFill="1" applyBorder="1" applyAlignment="1">
      <alignment horizontal="left"/>
    </xf>
    <xf numFmtId="0" fontId="35" fillId="5" borderId="21" xfId="0" applyFont="1" applyFill="1" applyBorder="1" applyAlignment="1">
      <alignment horizontal="left"/>
    </xf>
    <xf numFmtId="0" fontId="35" fillId="3" borderId="42" xfId="0" applyFont="1" applyFill="1" applyBorder="1" applyAlignment="1">
      <alignment horizontal="left"/>
    </xf>
    <xf numFmtId="3" fontId="0" fillId="4" borderId="61" xfId="0" applyNumberFormat="1" applyFont="1" applyFill="1" applyBorder="1"/>
    <xf numFmtId="3" fontId="0" fillId="3" borderId="61" xfId="0" applyNumberFormat="1" applyFont="1" applyFill="1" applyBorder="1"/>
    <xf numFmtId="3" fontId="0" fillId="5" borderId="61" xfId="0" applyNumberFormat="1" applyFont="1" applyFill="1" applyBorder="1"/>
    <xf numFmtId="3" fontId="0" fillId="3" borderId="63" xfId="0" applyNumberFormat="1" applyFont="1" applyFill="1" applyBorder="1"/>
    <xf numFmtId="3" fontId="0" fillId="0" borderId="6" xfId="0" applyNumberFormat="1" applyFont="1" applyBorder="1"/>
    <xf numFmtId="3" fontId="0" fillId="5" borderId="63" xfId="0" applyNumberFormat="1" applyFont="1" applyFill="1" applyBorder="1"/>
    <xf numFmtId="10" fontId="0" fillId="0" borderId="6" xfId="0" applyNumberFormat="1" applyFont="1" applyBorder="1"/>
    <xf numFmtId="0" fontId="35" fillId="5" borderId="22" xfId="0" applyFont="1" applyFill="1" applyBorder="1" applyAlignment="1">
      <alignment horizontal="left"/>
    </xf>
    <xf numFmtId="0" fontId="35" fillId="5" borderId="42" xfId="0" applyFont="1" applyFill="1" applyBorder="1" applyAlignment="1">
      <alignment horizontal="left"/>
    </xf>
    <xf numFmtId="0" fontId="104" fillId="0" borderId="0" xfId="0" applyFont="1" applyFill="1" applyBorder="1" applyAlignment="1"/>
    <xf numFmtId="0" fontId="21" fillId="4" borderId="6" xfId="0" applyFont="1" applyFill="1" applyBorder="1" applyAlignment="1">
      <alignment horizontal="center" vertical="center"/>
    </xf>
    <xf numFmtId="164" fontId="4" fillId="5" borderId="6" xfId="1" applyNumberFormat="1" applyFont="1" applyFill="1" applyBorder="1" applyAlignment="1">
      <alignment horizontal="center"/>
    </xf>
    <xf numFmtId="164" fontId="21" fillId="4" borderId="6" xfId="1" applyNumberFormat="1" applyFont="1" applyFill="1" applyBorder="1" applyAlignment="1">
      <alignment horizontal="center"/>
    </xf>
    <xf numFmtId="0" fontId="61" fillId="0" borderId="0" xfId="0" applyFont="1" applyFill="1" applyBorder="1" applyAlignment="1">
      <alignment horizontal="center"/>
    </xf>
    <xf numFmtId="168" fontId="10" fillId="0" borderId="32" xfId="0" applyNumberFormat="1" applyFont="1" applyFill="1" applyBorder="1"/>
    <xf numFmtId="0" fontId="120" fillId="0" borderId="0" xfId="0" applyFont="1" applyFill="1"/>
    <xf numFmtId="0" fontId="21" fillId="0" borderId="0" xfId="0" applyFont="1" applyFill="1" applyBorder="1" applyAlignment="1">
      <alignment horizontal="left"/>
    </xf>
    <xf numFmtId="0" fontId="120" fillId="51" borderId="0" xfId="0" applyFont="1" applyFill="1" applyAlignment="1">
      <alignment wrapText="1"/>
    </xf>
    <xf numFmtId="0" fontId="120" fillId="11" borderId="0" xfId="0" applyFont="1" applyFill="1"/>
    <xf numFmtId="0" fontId="116" fillId="11" borderId="0" xfId="0" applyFont="1" applyFill="1" applyBorder="1" applyAlignment="1">
      <alignment horizontal="left"/>
    </xf>
    <xf numFmtId="0" fontId="0" fillId="11" borderId="0" xfId="0" applyFill="1" applyBorder="1" applyAlignment="1">
      <alignment horizontal="left"/>
    </xf>
    <xf numFmtId="0" fontId="123" fillId="11" borderId="67" xfId="0" applyFont="1" applyFill="1" applyBorder="1" applyAlignment="1" applyProtection="1">
      <alignment horizontal="left" vertical="center" wrapText="1"/>
      <protection locked="0"/>
    </xf>
    <xf numFmtId="0" fontId="0" fillId="11" borderId="3" xfId="0" applyFont="1" applyFill="1" applyBorder="1" applyAlignment="1">
      <alignment vertical="center"/>
    </xf>
    <xf numFmtId="0" fontId="0" fillId="11" borderId="29" xfId="0" applyFont="1" applyFill="1" applyBorder="1" applyAlignment="1">
      <alignment vertical="center"/>
    </xf>
    <xf numFmtId="0" fontId="125" fillId="11" borderId="0" xfId="0" applyFont="1" applyFill="1"/>
    <xf numFmtId="0" fontId="18" fillId="11" borderId="67" xfId="0" applyFont="1" applyFill="1" applyBorder="1" applyAlignment="1" applyProtection="1">
      <alignment horizontal="left" vertical="center"/>
      <protection locked="0"/>
    </xf>
    <xf numFmtId="0" fontId="18" fillId="11" borderId="30" xfId="0" applyFont="1" applyFill="1" applyBorder="1" applyAlignment="1" applyProtection="1">
      <alignment horizontal="left" vertical="center"/>
      <protection locked="0"/>
    </xf>
    <xf numFmtId="4" fontId="4" fillId="54" borderId="5" xfId="0" applyNumberFormat="1" applyFont="1" applyFill="1" applyBorder="1" applyAlignment="1">
      <alignment horizontal="center" vertical="center"/>
    </xf>
    <xf numFmtId="4" fontId="4" fillId="54" borderId="6" xfId="0" applyNumberFormat="1" applyFont="1" applyFill="1" applyBorder="1" applyAlignment="1">
      <alignment horizontal="center" vertical="center"/>
    </xf>
    <xf numFmtId="10" fontId="10" fillId="4" borderId="41" xfId="0" applyNumberFormat="1" applyFont="1" applyFill="1" applyBorder="1" applyAlignment="1">
      <alignment horizontal="center"/>
    </xf>
    <xf numFmtId="10" fontId="10" fillId="4" borderId="6" xfId="0" applyNumberFormat="1" applyFont="1" applyFill="1" applyBorder="1" applyAlignment="1">
      <alignment horizontal="center"/>
    </xf>
    <xf numFmtId="4" fontId="4" fillId="57" borderId="5" xfId="1" applyNumberFormat="1" applyFont="1" applyFill="1" applyBorder="1" applyAlignment="1">
      <alignment horizontal="center"/>
    </xf>
    <xf numFmtId="4" fontId="4" fillId="57" borderId="6" xfId="1" applyNumberFormat="1" applyFont="1" applyFill="1" applyBorder="1" applyAlignment="1">
      <alignment horizontal="center" vertical="center"/>
    </xf>
    <xf numFmtId="3" fontId="118" fillId="6" borderId="60" xfId="0" applyNumberFormat="1" applyFont="1" applyFill="1" applyBorder="1"/>
    <xf numFmtId="3" fontId="118" fillId="6" borderId="64" xfId="0" applyNumberFormat="1" applyFont="1" applyFill="1" applyBorder="1"/>
    <xf numFmtId="3" fontId="127" fillId="0" borderId="0" xfId="0" applyNumberFormat="1" applyFont="1" applyBorder="1"/>
    <xf numFmtId="10" fontId="118" fillId="6" borderId="6" xfId="0" applyNumberFormat="1" applyFont="1" applyFill="1" applyBorder="1" applyAlignment="1">
      <alignment horizontal="center"/>
    </xf>
    <xf numFmtId="3" fontId="118" fillId="6" borderId="43" xfId="0" applyNumberFormat="1" applyFont="1" applyFill="1" applyBorder="1"/>
    <xf numFmtId="3" fontId="118" fillId="6" borderId="63" xfId="0" applyNumberFormat="1" applyFont="1" applyFill="1" applyBorder="1"/>
    <xf numFmtId="4" fontId="127" fillId="0" borderId="0" xfId="0" applyNumberFormat="1" applyFont="1" applyBorder="1" applyAlignment="1">
      <alignment horizontal="right"/>
    </xf>
    <xf numFmtId="0" fontId="26" fillId="0" borderId="0" xfId="0" applyFont="1" applyAlignment="1">
      <alignment horizontal="center"/>
    </xf>
    <xf numFmtId="3" fontId="118" fillId="0" borderId="0" xfId="0" applyNumberFormat="1" applyFont="1" applyFill="1" applyBorder="1"/>
    <xf numFmtId="0" fontId="88" fillId="11" borderId="67" xfId="0" applyFont="1" applyFill="1" applyBorder="1" applyAlignment="1" applyProtection="1">
      <alignment horizontal="left" vertical="center" wrapText="1"/>
      <protection locked="0"/>
    </xf>
    <xf numFmtId="0" fontId="123" fillId="0" borderId="0" xfId="0" applyFont="1" applyAlignment="1">
      <alignment horizontal="left" vertical="top" wrapText="1"/>
    </xf>
    <xf numFmtId="0" fontId="123" fillId="0" borderId="0" xfId="0" applyFont="1" applyAlignment="1">
      <alignment horizontal="left" vertical="top"/>
    </xf>
    <xf numFmtId="14" fontId="123" fillId="0" borderId="0" xfId="0" applyNumberFormat="1" applyFont="1" applyAlignment="1">
      <alignment horizontal="left" vertical="top"/>
    </xf>
    <xf numFmtId="0" fontId="0" fillId="0" borderId="0" xfId="0" applyAlignment="1">
      <alignment horizontal="left" vertical="top"/>
    </xf>
    <xf numFmtId="3" fontId="29" fillId="2" borderId="20" xfId="0" applyNumberFormat="1" applyFont="1" applyFill="1" applyBorder="1"/>
    <xf numFmtId="0" fontId="29" fillId="10" borderId="20" xfId="0" applyFont="1" applyFill="1" applyBorder="1" applyAlignment="1">
      <alignment horizontal="right"/>
    </xf>
    <xf numFmtId="0" fontId="0" fillId="61" borderId="0" xfId="0" applyFill="1"/>
    <xf numFmtId="0" fontId="29" fillId="10" borderId="6" xfId="0" applyFont="1" applyFill="1" applyBorder="1"/>
    <xf numFmtId="0" fontId="29" fillId="10" borderId="4" xfId="0" applyFont="1" applyFill="1" applyBorder="1"/>
    <xf numFmtId="0" fontId="29" fillId="10" borderId="7" xfId="0" applyFont="1" applyFill="1" applyBorder="1" applyProtection="1"/>
    <xf numFmtId="0" fontId="29" fillId="10" borderId="41" xfId="0" applyFont="1" applyFill="1" applyBorder="1" applyProtection="1"/>
    <xf numFmtId="0" fontId="29" fillId="10" borderId="5" xfId="0" applyFont="1" applyFill="1" applyBorder="1" applyProtection="1"/>
    <xf numFmtId="0" fontId="130" fillId="2" borderId="32" xfId="0" applyFont="1" applyFill="1" applyBorder="1"/>
    <xf numFmtId="0" fontId="130" fillId="2" borderId="14" xfId="0" applyFont="1" applyFill="1" applyBorder="1"/>
    <xf numFmtId="0" fontId="29" fillId="2" borderId="32" xfId="0" applyFont="1" applyFill="1" applyBorder="1"/>
    <xf numFmtId="0" fontId="0" fillId="11" borderId="24" xfId="0" applyFill="1" applyBorder="1" applyAlignment="1">
      <alignment horizontal="right"/>
    </xf>
    <xf numFmtId="0" fontId="18" fillId="51" borderId="0" xfId="0" applyFont="1" applyFill="1" applyBorder="1" applyAlignment="1">
      <alignment horizontal="left" wrapText="1"/>
    </xf>
    <xf numFmtId="0" fontId="0" fillId="51" borderId="0" xfId="0" applyFill="1" applyBorder="1" applyAlignment="1">
      <alignment horizontal="left" wrapText="1"/>
    </xf>
    <xf numFmtId="0" fontId="0" fillId="11" borderId="0" xfId="0" applyFill="1" applyAlignment="1">
      <alignment vertical="center"/>
    </xf>
    <xf numFmtId="0" fontId="0" fillId="51" borderId="0" xfId="0" applyFill="1" applyAlignment="1">
      <alignment vertical="center"/>
    </xf>
    <xf numFmtId="0" fontId="0" fillId="51" borderId="0" xfId="0" applyFill="1" applyBorder="1" applyAlignment="1">
      <alignment vertical="center"/>
    </xf>
    <xf numFmtId="0" fontId="0" fillId="11" borderId="0" xfId="0" applyFill="1" applyBorder="1" applyAlignment="1">
      <alignment vertical="center"/>
    </xf>
    <xf numFmtId="0" fontId="0" fillId="0" borderId="0" xfId="0" applyFill="1" applyAlignment="1">
      <alignment vertical="center"/>
    </xf>
    <xf numFmtId="0" fontId="131" fillId="0" borderId="0" xfId="2" applyFont="1" applyAlignment="1" applyProtection="1">
      <alignment horizontal="center"/>
    </xf>
    <xf numFmtId="0" fontId="70" fillId="2" borderId="6" xfId="0" applyFont="1" applyFill="1" applyBorder="1" applyAlignment="1">
      <alignment horizontal="center"/>
    </xf>
    <xf numFmtId="180" fontId="48" fillId="0" borderId="0" xfId="3" applyNumberFormat="1" applyFont="1" applyAlignment="1"/>
    <xf numFmtId="0" fontId="23" fillId="0" borderId="0" xfId="0" applyFont="1"/>
    <xf numFmtId="4" fontId="24" fillId="0" borderId="0" xfId="2" applyNumberFormat="1" applyFill="1" applyBorder="1" applyAlignment="1" applyProtection="1">
      <alignment horizontal="right"/>
    </xf>
    <xf numFmtId="180" fontId="0" fillId="0" borderId="0" xfId="3" applyNumberFormat="1" applyFont="1" applyBorder="1" applyAlignment="1">
      <alignment horizontal="left"/>
    </xf>
    <xf numFmtId="180" fontId="48" fillId="0" borderId="0" xfId="3" quotePrefix="1" applyNumberFormat="1" applyFont="1" applyBorder="1" applyAlignment="1"/>
    <xf numFmtId="171" fontId="130" fillId="10" borderId="0" xfId="0" applyNumberFormat="1" applyFont="1" applyFill="1" applyBorder="1"/>
    <xf numFmtId="0" fontId="29" fillId="10" borderId="0" xfId="0" applyFont="1" applyFill="1" applyBorder="1"/>
    <xf numFmtId="0" fontId="130" fillId="10" borderId="0" xfId="0" applyFont="1" applyFill="1" applyBorder="1"/>
    <xf numFmtId="0" fontId="130" fillId="10" borderId="20" xfId="0" applyFont="1" applyFill="1" applyBorder="1"/>
    <xf numFmtId="0" fontId="70" fillId="2" borderId="82" xfId="0" applyFont="1" applyFill="1" applyBorder="1" applyAlignment="1">
      <alignment horizontal="center"/>
    </xf>
    <xf numFmtId="0" fontId="4" fillId="62" borderId="15" xfId="0" applyFont="1" applyFill="1" applyBorder="1" applyAlignment="1">
      <alignment vertical="center"/>
    </xf>
    <xf numFmtId="0" fontId="2" fillId="62" borderId="25" xfId="0" applyFont="1" applyFill="1" applyBorder="1" applyAlignment="1" applyProtection="1">
      <alignment vertical="center"/>
      <protection locked="0"/>
    </xf>
    <xf numFmtId="0" fontId="2" fillId="62" borderId="18" xfId="0" applyFont="1" applyFill="1" applyBorder="1" applyAlignment="1" applyProtection="1">
      <alignment vertical="center"/>
      <protection locked="0"/>
    </xf>
    <xf numFmtId="0" fontId="4" fillId="62" borderId="32" xfId="0" applyFont="1" applyFill="1" applyBorder="1" applyAlignment="1">
      <alignment vertical="center"/>
    </xf>
    <xf numFmtId="0" fontId="2" fillId="62" borderId="0" xfId="0" applyFont="1" applyFill="1" applyBorder="1" applyAlignment="1" applyProtection="1">
      <alignment vertical="center"/>
      <protection locked="0"/>
    </xf>
    <xf numFmtId="0" fontId="2" fillId="62" borderId="33" xfId="0" applyFont="1" applyFill="1" applyBorder="1" applyAlignment="1" applyProtection="1">
      <alignment vertical="center"/>
      <protection locked="0"/>
    </xf>
    <xf numFmtId="0" fontId="0" fillId="62" borderId="32" xfId="0" applyFont="1" applyFill="1" applyBorder="1" applyAlignment="1">
      <alignment horizontal="right" vertical="center"/>
    </xf>
    <xf numFmtId="4" fontId="18" fillId="62" borderId="0" xfId="0" applyNumberFormat="1" applyFont="1" applyFill="1" applyBorder="1"/>
    <xf numFmtId="0" fontId="18" fillId="62" borderId="33" xfId="0" applyFont="1" applyFill="1" applyBorder="1" applyAlignment="1">
      <alignment vertical="center"/>
    </xf>
    <xf numFmtId="2" fontId="29" fillId="10" borderId="0" xfId="0" applyNumberFormat="1" applyFont="1" applyFill="1" applyBorder="1" applyAlignment="1">
      <alignment vertical="center"/>
    </xf>
    <xf numFmtId="2" fontId="29" fillId="10" borderId="0" xfId="0" applyNumberFormat="1" applyFont="1" applyFill="1"/>
    <xf numFmtId="0" fontId="18" fillId="62" borderId="33" xfId="0" applyFont="1" applyFill="1" applyBorder="1"/>
    <xf numFmtId="0" fontId="0" fillId="62" borderId="0" xfId="0" applyFont="1" applyFill="1" applyBorder="1" applyAlignment="1">
      <alignment horizontal="right" vertical="center"/>
    </xf>
    <xf numFmtId="0" fontId="0" fillId="62" borderId="77" xfId="0" applyFont="1" applyFill="1" applyBorder="1" applyAlignment="1">
      <alignment horizontal="right" vertical="center"/>
    </xf>
    <xf numFmtId="0" fontId="130" fillId="10" borderId="32" xfId="0" applyFont="1" applyFill="1" applyBorder="1" applyAlignment="1"/>
    <xf numFmtId="9" fontId="130" fillId="2" borderId="0" xfId="0" applyNumberFormat="1" applyFont="1" applyFill="1" applyBorder="1" applyAlignment="1">
      <alignment vertical="center"/>
    </xf>
    <xf numFmtId="9" fontId="29" fillId="2" borderId="0" xfId="0" applyNumberFormat="1" applyFont="1" applyFill="1" applyAlignment="1">
      <alignment vertical="center"/>
    </xf>
    <xf numFmtId="168" fontId="45" fillId="62" borderId="46" xfId="0" applyNumberFormat="1" applyFont="1" applyFill="1" applyBorder="1"/>
    <xf numFmtId="168" fontId="45" fillId="62" borderId="34" xfId="0" applyNumberFormat="1" applyFont="1" applyFill="1" applyBorder="1"/>
    <xf numFmtId="0" fontId="29" fillId="2" borderId="15" xfId="0" applyFont="1" applyFill="1" applyBorder="1"/>
    <xf numFmtId="2" fontId="29" fillId="2" borderId="32" xfId="0" applyNumberFormat="1" applyFont="1" applyFill="1" applyBorder="1"/>
    <xf numFmtId="9" fontId="29" fillId="2" borderId="14" xfId="0" applyNumberFormat="1" applyFont="1" applyFill="1" applyBorder="1"/>
    <xf numFmtId="168" fontId="0" fillId="62" borderId="32" xfId="0" applyNumberFormat="1" applyFill="1" applyBorder="1"/>
    <xf numFmtId="168" fontId="0" fillId="62" borderId="14" xfId="0" applyNumberFormat="1" applyFill="1" applyBorder="1"/>
    <xf numFmtId="168" fontId="45" fillId="62" borderId="40" xfId="0" applyNumberFormat="1" applyFont="1" applyFill="1" applyBorder="1"/>
    <xf numFmtId="9" fontId="29" fillId="2" borderId="32" xfId="0" applyNumberFormat="1" applyFont="1" applyFill="1" applyBorder="1"/>
    <xf numFmtId="43" fontId="0" fillId="62" borderId="14" xfId="0" applyNumberFormat="1" applyFill="1" applyBorder="1"/>
    <xf numFmtId="0" fontId="134" fillId="2" borderId="32" xfId="0" applyFont="1" applyFill="1" applyBorder="1"/>
    <xf numFmtId="9" fontId="134" fillId="2" borderId="14" xfId="1" applyFont="1" applyFill="1" applyBorder="1"/>
    <xf numFmtId="168" fontId="45" fillId="62" borderId="15" xfId="0" applyNumberFormat="1" applyFont="1" applyFill="1" applyBorder="1"/>
    <xf numFmtId="168" fontId="45" fillId="62" borderId="32" xfId="0" applyNumberFormat="1" applyFont="1" applyFill="1" applyBorder="1"/>
    <xf numFmtId="0" fontId="29" fillId="2" borderId="20" xfId="0" applyFont="1" applyFill="1" applyBorder="1"/>
    <xf numFmtId="3" fontId="134" fillId="2" borderId="20" xfId="0" applyNumberFormat="1" applyFont="1" applyFill="1" applyBorder="1"/>
    <xf numFmtId="3" fontId="134" fillId="2" borderId="32" xfId="0" applyNumberFormat="1" applyFont="1" applyFill="1" applyBorder="1"/>
    <xf numFmtId="166" fontId="45" fillId="62" borderId="20" xfId="0" applyNumberFormat="1" applyFont="1" applyFill="1" applyBorder="1"/>
    <xf numFmtId="166" fontId="45" fillId="62" borderId="34" xfId="0" applyNumberFormat="1" applyFont="1" applyFill="1" applyBorder="1"/>
    <xf numFmtId="166" fontId="45" fillId="62" borderId="32" xfId="0" applyNumberFormat="1" applyFont="1" applyFill="1" applyBorder="1"/>
    <xf numFmtId="166" fontId="45" fillId="62" borderId="14" xfId="0" applyNumberFormat="1" applyFont="1" applyFill="1" applyBorder="1"/>
    <xf numFmtId="3" fontId="29" fillId="2" borderId="32" xfId="0" applyNumberFormat="1" applyFont="1" applyFill="1" applyBorder="1"/>
    <xf numFmtId="3" fontId="67" fillId="2" borderId="73" xfId="0" applyNumberFormat="1" applyFont="1" applyFill="1" applyBorder="1" applyAlignment="1">
      <alignment horizontal="center"/>
    </xf>
    <xf numFmtId="171" fontId="67" fillId="10" borderId="73" xfId="0" applyNumberFormat="1" applyFont="1" applyFill="1" applyBorder="1" applyAlignment="1">
      <alignment horizontal="center"/>
    </xf>
    <xf numFmtId="171" fontId="21" fillId="10" borderId="73" xfId="0" applyNumberFormat="1" applyFont="1" applyFill="1" applyBorder="1" applyAlignment="1">
      <alignment horizontal="center"/>
    </xf>
    <xf numFmtId="188" fontId="29" fillId="10" borderId="61" xfId="3" applyNumberFormat="1" applyFont="1" applyFill="1" applyBorder="1" applyAlignment="1">
      <alignment horizontal="center"/>
    </xf>
    <xf numFmtId="188" fontId="29" fillId="10" borderId="78" xfId="3" applyNumberFormat="1" applyFont="1" applyFill="1" applyBorder="1" applyAlignment="1">
      <alignment horizontal="center"/>
    </xf>
    <xf numFmtId="0" fontId="136" fillId="63" borderId="21" xfId="0" applyFont="1" applyFill="1" applyBorder="1" applyAlignment="1">
      <alignment vertical="top"/>
    </xf>
    <xf numFmtId="0" fontId="66" fillId="64" borderId="2" xfId="0" applyFont="1" applyFill="1" applyBorder="1" applyAlignment="1">
      <alignment vertical="top"/>
    </xf>
    <xf numFmtId="0" fontId="137" fillId="63" borderId="22" xfId="0" applyFont="1" applyFill="1" applyBorder="1" applyAlignment="1">
      <alignment vertical="top"/>
    </xf>
    <xf numFmtId="0" fontId="66" fillId="64" borderId="1" xfId="0" applyFont="1" applyFill="1" applyBorder="1" applyAlignment="1">
      <alignment vertical="top"/>
    </xf>
    <xf numFmtId="0" fontId="136" fillId="65" borderId="22" xfId="0" applyFont="1" applyFill="1" applyBorder="1" applyAlignment="1">
      <alignment vertical="top"/>
    </xf>
    <xf numFmtId="0" fontId="66" fillId="64" borderId="1" xfId="0" applyFont="1" applyFill="1" applyBorder="1" applyAlignment="1">
      <alignment vertical="top" wrapText="1"/>
    </xf>
    <xf numFmtId="0" fontId="137" fillId="65" borderId="22" xfId="0" applyFont="1" applyFill="1" applyBorder="1" applyAlignment="1">
      <alignment vertical="top"/>
    </xf>
    <xf numFmtId="0" fontId="66" fillId="64" borderId="22" xfId="0" applyFont="1" applyFill="1" applyBorder="1" applyAlignment="1">
      <alignment vertical="top"/>
    </xf>
    <xf numFmtId="0" fontId="66" fillId="66" borderId="22" xfId="0" applyFont="1" applyFill="1" applyBorder="1" applyAlignment="1">
      <alignment vertical="top"/>
    </xf>
    <xf numFmtId="0" fontId="139" fillId="67" borderId="22" xfId="0" applyFont="1" applyFill="1" applyBorder="1" applyAlignment="1">
      <alignment vertical="top"/>
    </xf>
    <xf numFmtId="0" fontId="139" fillId="64" borderId="1" xfId="0" applyFont="1" applyFill="1" applyBorder="1" applyAlignment="1">
      <alignment vertical="top"/>
    </xf>
    <xf numFmtId="0" fontId="139" fillId="68" borderId="22" xfId="0" applyFont="1" applyFill="1" applyBorder="1" applyAlignment="1">
      <alignment vertical="top"/>
    </xf>
    <xf numFmtId="0" fontId="139" fillId="69" borderId="70" xfId="0" applyFont="1" applyFill="1" applyBorder="1" applyAlignment="1">
      <alignment vertical="top"/>
    </xf>
    <xf numFmtId="0" fontId="139" fillId="64" borderId="16" xfId="0" applyFont="1" applyFill="1" applyBorder="1" applyAlignment="1">
      <alignment vertical="top"/>
    </xf>
    <xf numFmtId="180" fontId="24" fillId="0" borderId="32" xfId="2" quotePrefix="1" applyNumberFormat="1" applyBorder="1" applyAlignment="1" applyProtection="1"/>
    <xf numFmtId="168" fontId="88" fillId="62" borderId="32" xfId="0" applyNumberFormat="1" applyFont="1" applyFill="1" applyBorder="1" applyAlignment="1">
      <alignment vertical="center"/>
    </xf>
    <xf numFmtId="183" fontId="71" fillId="0" borderId="77" xfId="0" applyNumberFormat="1" applyFont="1" applyBorder="1"/>
    <xf numFmtId="0" fontId="71" fillId="0" borderId="16" xfId="0" applyFont="1" applyBorder="1"/>
    <xf numFmtId="0" fontId="55" fillId="0" borderId="0" xfId="0" applyFont="1"/>
    <xf numFmtId="169" fontId="29" fillId="10" borderId="20" xfId="0" applyNumberFormat="1" applyFont="1" applyFill="1" applyBorder="1"/>
    <xf numFmtId="0" fontId="29" fillId="10" borderId="6" xfId="0" applyFont="1" applyFill="1" applyBorder="1" applyAlignment="1">
      <alignment horizontal="center"/>
    </xf>
    <xf numFmtId="178" fontId="29" fillId="10" borderId="0" xfId="0" applyNumberFormat="1" applyFont="1" applyFill="1" applyBorder="1"/>
    <xf numFmtId="171" fontId="29" fillId="10" borderId="0" xfId="0" applyNumberFormat="1" applyFont="1" applyFill="1" applyBorder="1"/>
    <xf numFmtId="0" fontId="24" fillId="0" borderId="0" xfId="2" pivotButton="1" applyFill="1" applyAlignment="1" applyProtection="1">
      <alignment horizontal="left"/>
    </xf>
    <xf numFmtId="0" fontId="29" fillId="10" borderId="20" xfId="0" applyFont="1" applyFill="1" applyBorder="1"/>
    <xf numFmtId="183" fontId="29" fillId="10" borderId="20" xfId="0" applyNumberFormat="1" applyFont="1" applyFill="1" applyBorder="1"/>
    <xf numFmtId="2" fontId="29" fillId="10" borderId="20" xfId="0" applyNumberFormat="1" applyFont="1" applyFill="1" applyBorder="1"/>
    <xf numFmtId="168" fontId="29" fillId="10" borderId="20" xfId="0" applyNumberFormat="1" applyFont="1" applyFill="1" applyBorder="1"/>
    <xf numFmtId="3" fontId="88" fillId="2" borderId="20" xfId="0" applyNumberFormat="1" applyFont="1" applyFill="1" applyBorder="1"/>
    <xf numFmtId="4" fontId="29" fillId="10" borderId="20" xfId="0" applyNumberFormat="1" applyFont="1" applyFill="1" applyBorder="1"/>
    <xf numFmtId="0" fontId="29" fillId="10" borderId="34" xfId="0" applyFont="1" applyFill="1" applyBorder="1" applyAlignment="1">
      <alignment horizontal="right"/>
    </xf>
    <xf numFmtId="0" fontId="90" fillId="0" borderId="0" xfId="0" applyFont="1" applyBorder="1"/>
    <xf numFmtId="0" fontId="52" fillId="0" borderId="16" xfId="3" applyNumberFormat="1" applyFont="1" applyBorder="1" applyAlignment="1">
      <alignment horizontal="left" vertical="top" wrapText="1"/>
    </xf>
    <xf numFmtId="0" fontId="21" fillId="51" borderId="0" xfId="0" applyFont="1" applyFill="1" applyAlignment="1">
      <alignment horizontal="left" vertical="top"/>
    </xf>
    <xf numFmtId="0" fontId="0" fillId="51" borderId="0" xfId="0" applyFont="1" applyFill="1" applyBorder="1" applyAlignment="1">
      <alignment horizontal="left" vertical="top" wrapText="1"/>
    </xf>
    <xf numFmtId="0" fontId="35" fillId="51" borderId="0" xfId="0" applyFont="1" applyFill="1" applyBorder="1" applyAlignment="1">
      <alignment horizontal="left" vertical="top"/>
    </xf>
    <xf numFmtId="0" fontId="21" fillId="51" borderId="0" xfId="0" applyFont="1" applyFill="1" applyBorder="1" applyAlignment="1">
      <alignment horizontal="left" vertical="top"/>
    </xf>
    <xf numFmtId="0" fontId="21" fillId="61" borderId="0" xfId="0" applyFont="1" applyFill="1" applyAlignment="1">
      <alignment horizontal="left" vertical="top"/>
    </xf>
    <xf numFmtId="0" fontId="0" fillId="61" borderId="0" xfId="0" applyFill="1" applyAlignment="1">
      <alignment horizontal="left" vertical="top"/>
    </xf>
    <xf numFmtId="0" fontId="108" fillId="51" borderId="0" xfId="0" applyFont="1" applyFill="1" applyBorder="1" applyAlignment="1">
      <alignment horizontal="left" vertical="center"/>
    </xf>
    <xf numFmtId="0" fontId="24" fillId="51" borderId="0" xfId="2" applyFill="1" applyBorder="1" applyAlignment="1" applyProtection="1">
      <alignment vertical="center" wrapText="1"/>
    </xf>
    <xf numFmtId="0" fontId="120" fillId="51" borderId="0" xfId="0" applyFont="1" applyFill="1" applyAlignment="1">
      <alignment vertical="center" wrapText="1"/>
    </xf>
    <xf numFmtId="0" fontId="0" fillId="51" borderId="0" xfId="0" applyFont="1" applyFill="1" applyBorder="1" applyAlignment="1">
      <alignment vertical="center" wrapText="1"/>
    </xf>
    <xf numFmtId="0" fontId="0" fillId="61" borderId="0" xfId="0" applyFill="1" applyAlignment="1">
      <alignment vertical="center"/>
    </xf>
    <xf numFmtId="0" fontId="0" fillId="51" borderId="0" xfId="0" applyFont="1" applyFill="1" applyBorder="1" applyAlignment="1">
      <alignment vertical="top" wrapText="1"/>
    </xf>
    <xf numFmtId="0" fontId="58" fillId="51" borderId="0" xfId="2" applyFont="1" applyFill="1" applyBorder="1" applyAlignment="1" applyProtection="1">
      <alignment vertical="center" wrapText="1"/>
    </xf>
    <xf numFmtId="0" fontId="58" fillId="51" borderId="0" xfId="2" quotePrefix="1" applyFont="1" applyFill="1" applyBorder="1" applyAlignment="1" applyProtection="1">
      <alignment vertical="center" wrapText="1"/>
    </xf>
    <xf numFmtId="0" fontId="146" fillId="71" borderId="0" xfId="0" applyFont="1" applyFill="1"/>
    <xf numFmtId="0" fontId="146" fillId="71" borderId="0" xfId="0" applyFont="1" applyFill="1" applyAlignment="1">
      <alignment vertical="top" wrapText="1"/>
    </xf>
    <xf numFmtId="0" fontId="146" fillId="71" borderId="0" xfId="0" applyFont="1" applyFill="1" applyAlignment="1">
      <alignment vertical="center" wrapText="1"/>
    </xf>
    <xf numFmtId="0" fontId="88" fillId="51" borderId="0" xfId="0" applyFont="1" applyFill="1" applyBorder="1" applyAlignment="1">
      <alignment horizontal="left" vertical="top" wrapText="1"/>
    </xf>
    <xf numFmtId="0" fontId="24" fillId="61" borderId="0" xfId="2" applyFill="1" applyAlignment="1" applyProtection="1">
      <alignment wrapText="1"/>
    </xf>
    <xf numFmtId="0" fontId="52" fillId="0" borderId="0" xfId="3" applyNumberFormat="1" applyFont="1" applyBorder="1" applyAlignment="1">
      <alignment vertical="top" wrapText="1"/>
    </xf>
    <xf numFmtId="0" fontId="0" fillId="0" borderId="0" xfId="0" applyFill="1" applyAlignment="1">
      <alignment horizontal="left" vertical="top"/>
    </xf>
    <xf numFmtId="0" fontId="88" fillId="0" borderId="0" xfId="0" applyFont="1" applyAlignment="1">
      <alignment horizontal="left" vertical="top" wrapText="1"/>
    </xf>
    <xf numFmtId="0" fontId="88" fillId="0" borderId="0" xfId="0" applyFont="1" applyFill="1" applyAlignment="1">
      <alignment horizontal="left" vertical="top" wrapText="1"/>
    </xf>
    <xf numFmtId="0" fontId="13" fillId="0" borderId="0" xfId="0" applyFont="1" applyBorder="1" applyAlignment="1">
      <alignment vertical="top" wrapText="1"/>
    </xf>
    <xf numFmtId="0" fontId="24" fillId="0" borderId="0" xfId="2" applyFill="1" applyAlignment="1" applyProtection="1"/>
    <xf numFmtId="180" fontId="0" fillId="0" borderId="0" xfId="3" quotePrefix="1" applyNumberFormat="1" applyFont="1" applyAlignment="1">
      <alignment horizontal="left"/>
    </xf>
    <xf numFmtId="0" fontId="135" fillId="0" borderId="0" xfId="0" applyFont="1" applyFill="1" applyBorder="1" applyAlignment="1">
      <alignment vertical="top" wrapText="1"/>
    </xf>
    <xf numFmtId="0" fontId="24" fillId="0" borderId="0" xfId="2" applyFont="1" applyAlignment="1" applyProtection="1">
      <alignment horizontal="center" vertical="center"/>
    </xf>
    <xf numFmtId="0" fontId="133" fillId="0" borderId="0" xfId="0" applyFont="1" applyAlignment="1">
      <alignment vertical="top" wrapText="1"/>
    </xf>
    <xf numFmtId="0" fontId="142" fillId="0" borderId="0" xfId="0" applyFont="1" applyAlignment="1">
      <alignment vertical="top" wrapText="1"/>
    </xf>
    <xf numFmtId="0" fontId="55" fillId="0" borderId="0" xfId="0" applyFont="1" applyAlignment="1">
      <alignment vertical="top" wrapText="1"/>
    </xf>
    <xf numFmtId="0" fontId="147" fillId="0" borderId="0" xfId="2" applyFont="1" applyAlignment="1" applyProtection="1">
      <alignment horizontal="center"/>
    </xf>
    <xf numFmtId="180" fontId="24" fillId="0" borderId="0" xfId="2" quotePrefix="1" applyNumberFormat="1" applyBorder="1" applyAlignment="1" applyProtection="1"/>
    <xf numFmtId="0" fontId="70" fillId="0" borderId="0" xfId="0" applyFont="1" applyFill="1" applyBorder="1" applyAlignment="1">
      <alignment horizontal="center"/>
    </xf>
    <xf numFmtId="0" fontId="147" fillId="0" borderId="0" xfId="2" applyFont="1" applyAlignment="1" applyProtection="1">
      <alignment horizontal="center" vertical="center"/>
    </xf>
    <xf numFmtId="0" fontId="13" fillId="0" borderId="0" xfId="0" applyFont="1" applyAlignment="1">
      <alignment vertical="top" wrapText="1"/>
    </xf>
    <xf numFmtId="0" fontId="69" fillId="2" borderId="82" xfId="0" applyFont="1" applyFill="1" applyBorder="1" applyAlignment="1">
      <alignment horizontal="center" wrapText="1"/>
    </xf>
    <xf numFmtId="0" fontId="117" fillId="0" borderId="0" xfId="0" applyFont="1" applyFill="1" applyBorder="1" applyAlignment="1">
      <alignment horizontal="center"/>
    </xf>
    <xf numFmtId="0" fontId="117" fillId="0" borderId="13" xfId="0" applyFont="1" applyFill="1" applyBorder="1" applyAlignment="1">
      <alignment horizontal="center"/>
    </xf>
    <xf numFmtId="10" fontId="18" fillId="2" borderId="20" xfId="0" applyNumberFormat="1" applyFont="1" applyFill="1" applyBorder="1"/>
    <xf numFmtId="10" fontId="18" fillId="2" borderId="32" xfId="0" applyNumberFormat="1" applyFont="1" applyFill="1" applyBorder="1"/>
    <xf numFmtId="0" fontId="69" fillId="0" borderId="0" xfId="0" applyFont="1" applyFill="1" applyBorder="1" applyAlignment="1">
      <alignment horizontal="center" wrapText="1"/>
    </xf>
    <xf numFmtId="0" fontId="109" fillId="0" borderId="24" xfId="0" applyFont="1" applyFill="1" applyBorder="1"/>
    <xf numFmtId="0" fontId="0" fillId="0" borderId="24" xfId="0" applyFill="1" applyBorder="1" applyAlignment="1">
      <alignment horizontal="right"/>
    </xf>
    <xf numFmtId="0" fontId="109" fillId="0" borderId="0" xfId="0" applyFont="1" applyFill="1" applyBorder="1"/>
    <xf numFmtId="0" fontId="0" fillId="0" borderId="0" xfId="0" applyFill="1" applyBorder="1" applyAlignment="1">
      <alignment horizontal="right"/>
    </xf>
    <xf numFmtId="0" fontId="52" fillId="0" borderId="0" xfId="0" applyFont="1" applyFill="1"/>
    <xf numFmtId="0" fontId="52" fillId="0" borderId="0" xfId="0" applyFont="1" applyFill="1" applyAlignment="1"/>
    <xf numFmtId="43" fontId="48" fillId="11" borderId="0" xfId="0" applyNumberFormat="1" applyFont="1" applyFill="1" applyBorder="1" applyAlignment="1">
      <alignment vertical="center"/>
    </xf>
    <xf numFmtId="0" fontId="48" fillId="0" borderId="0" xfId="0" applyFont="1" applyFill="1" applyBorder="1" applyAlignment="1">
      <alignment horizontal="left" vertical="center"/>
    </xf>
    <xf numFmtId="0" fontId="108" fillId="51" borderId="0" xfId="0" applyFont="1" applyFill="1" applyAlignment="1">
      <alignment horizontal="left" vertical="center"/>
    </xf>
    <xf numFmtId="0" fontId="32" fillId="51" borderId="0" xfId="0" applyFont="1" applyFill="1" applyAlignment="1">
      <alignment horizontal="left" wrapText="1"/>
    </xf>
    <xf numFmtId="0" fontId="52" fillId="51" borderId="0" xfId="0" applyFont="1" applyFill="1" applyAlignment="1">
      <alignment horizontal="left" wrapText="1"/>
    </xf>
    <xf numFmtId="10" fontId="4" fillId="4" borderId="41" xfId="0" applyNumberFormat="1" applyFont="1" applyFill="1" applyBorder="1" applyAlignment="1">
      <alignment horizontal="center" vertical="center"/>
    </xf>
    <xf numFmtId="10" fontId="4" fillId="4" borderId="5" xfId="0" applyNumberFormat="1" applyFont="1" applyFill="1" applyBorder="1" applyAlignment="1">
      <alignment horizontal="center" vertical="center"/>
    </xf>
    <xf numFmtId="10" fontId="4" fillId="3" borderId="41" xfId="0" applyNumberFormat="1" applyFont="1" applyFill="1" applyBorder="1" applyAlignment="1">
      <alignment horizontal="center" vertical="center"/>
    </xf>
    <xf numFmtId="10" fontId="4" fillId="3" borderId="5" xfId="0" applyNumberFormat="1" applyFont="1" applyFill="1" applyBorder="1" applyAlignment="1">
      <alignment horizontal="center" vertical="center"/>
    </xf>
    <xf numFmtId="0" fontId="10" fillId="0" borderId="24" xfId="0" applyFont="1" applyFill="1" applyBorder="1" applyAlignment="1">
      <alignment horizontal="left"/>
    </xf>
    <xf numFmtId="0" fontId="72" fillId="18" borderId="6" xfId="0" applyFont="1" applyFill="1" applyBorder="1" applyAlignment="1">
      <alignment horizontal="center"/>
    </xf>
    <xf numFmtId="0" fontId="72" fillId="18" borderId="6" xfId="0" applyFont="1" applyFill="1" applyBorder="1" applyAlignment="1">
      <alignment horizontal="center" vertical="center"/>
    </xf>
    <xf numFmtId="0" fontId="10" fillId="0" borderId="0" xfId="0" applyFont="1" applyFill="1" applyBorder="1" applyAlignment="1">
      <alignment horizontal="left"/>
    </xf>
    <xf numFmtId="0" fontId="10" fillId="0" borderId="33" xfId="0" applyFont="1" applyFill="1" applyBorder="1" applyAlignment="1">
      <alignment horizontal="left"/>
    </xf>
    <xf numFmtId="0" fontId="10" fillId="0" borderId="0" xfId="0" applyFont="1" applyBorder="1" applyAlignment="1">
      <alignment horizontal="left"/>
    </xf>
    <xf numFmtId="0" fontId="10" fillId="0" borderId="33" xfId="0" applyFont="1" applyBorder="1" applyAlignment="1">
      <alignment horizontal="left"/>
    </xf>
    <xf numFmtId="0" fontId="23" fillId="6" borderId="8" xfId="0" applyFont="1" applyFill="1" applyBorder="1" applyAlignment="1">
      <alignment horizontal="left"/>
    </xf>
    <xf numFmtId="0" fontId="23" fillId="6" borderId="9" xfId="0" applyFont="1" applyFill="1" applyBorder="1" applyAlignment="1">
      <alignment horizontal="left"/>
    </xf>
    <xf numFmtId="0" fontId="57" fillId="0" borderId="24" xfId="0" applyFont="1" applyFill="1" applyBorder="1" applyAlignment="1">
      <alignment horizontal="left"/>
    </xf>
    <xf numFmtId="169" fontId="18" fillId="0" borderId="32" xfId="0" applyNumberFormat="1" applyFont="1" applyBorder="1" applyAlignment="1">
      <alignment horizontal="right"/>
    </xf>
    <xf numFmtId="169" fontId="18" fillId="0" borderId="14" xfId="0" applyNumberFormat="1" applyFont="1" applyBorder="1" applyAlignment="1">
      <alignment horizontal="right"/>
    </xf>
    <xf numFmtId="0" fontId="18" fillId="0" borderId="32" xfId="0" applyFont="1" applyBorder="1" applyAlignment="1">
      <alignment horizontal="right"/>
    </xf>
    <xf numFmtId="0" fontId="18" fillId="0" borderId="3" xfId="0" applyFont="1" applyBorder="1" applyAlignment="1">
      <alignment horizontal="right"/>
    </xf>
    <xf numFmtId="169" fontId="35" fillId="0" borderId="3" xfId="0" applyNumberFormat="1" applyFont="1" applyFill="1" applyBorder="1" applyAlignment="1">
      <alignment horizontal="right"/>
    </xf>
    <xf numFmtId="0" fontId="23" fillId="0" borderId="0" xfId="0" applyFont="1" applyAlignment="1">
      <alignment horizontal="right" vertical="center"/>
    </xf>
    <xf numFmtId="0" fontId="45" fillId="0" borderId="6" xfId="0" applyFont="1" applyFill="1" applyBorder="1" applyAlignment="1">
      <alignment horizontal="center"/>
    </xf>
    <xf numFmtId="0" fontId="21" fillId="0" borderId="6" xfId="0" applyFont="1" applyBorder="1" applyAlignment="1">
      <alignment horizontal="center"/>
    </xf>
    <xf numFmtId="0" fontId="21" fillId="0" borderId="33" xfId="0" applyFont="1" applyBorder="1" applyAlignment="1">
      <alignment horizontal="center"/>
    </xf>
    <xf numFmtId="0" fontId="18" fillId="0" borderId="6" xfId="0" applyFont="1" applyFill="1" applyBorder="1" applyAlignment="1">
      <alignment horizontal="center" vertical="center"/>
    </xf>
    <xf numFmtId="0" fontId="35" fillId="0" borderId="0" xfId="0" applyFont="1" applyFill="1" applyBorder="1" applyAlignment="1">
      <alignment horizontal="center"/>
    </xf>
    <xf numFmtId="0" fontId="45" fillId="0" borderId="33" xfId="0" applyFont="1" applyFill="1" applyBorder="1" applyAlignment="1">
      <alignment horizontal="center"/>
    </xf>
    <xf numFmtId="0" fontId="0" fillId="0" borderId="0" xfId="0" applyBorder="1" applyAlignment="1">
      <alignment horizontal="center"/>
    </xf>
    <xf numFmtId="0" fontId="52" fillId="51" borderId="85" xfId="0" applyFont="1" applyFill="1" applyBorder="1" applyAlignment="1">
      <alignment horizontal="left" vertical="center" wrapText="1"/>
    </xf>
    <xf numFmtId="0" fontId="52" fillId="51" borderId="86" xfId="0" applyFont="1" applyFill="1" applyBorder="1" applyAlignment="1">
      <alignment horizontal="left" vertical="center" wrapText="1"/>
    </xf>
    <xf numFmtId="0" fontId="52" fillId="51" borderId="87" xfId="0" applyFont="1" applyFill="1" applyBorder="1" applyAlignment="1">
      <alignment horizontal="left" vertical="center" wrapText="1"/>
    </xf>
    <xf numFmtId="0" fontId="107" fillId="11" borderId="0" xfId="0" applyFont="1" applyFill="1" applyAlignment="1">
      <alignment horizontal="left" vertical="top" wrapText="1"/>
    </xf>
    <xf numFmtId="0" fontId="108" fillId="51" borderId="20" xfId="0" applyFont="1" applyFill="1" applyBorder="1" applyAlignment="1">
      <alignment horizontal="left" vertical="center"/>
    </xf>
    <xf numFmtId="0" fontId="108" fillId="51" borderId="0" xfId="0" applyFont="1" applyFill="1" applyAlignment="1">
      <alignment horizontal="left" vertical="center"/>
    </xf>
    <xf numFmtId="0" fontId="32" fillId="51" borderId="0" xfId="0" applyFont="1" applyFill="1" applyAlignment="1">
      <alignment horizontal="left" wrapText="1"/>
    </xf>
    <xf numFmtId="0" fontId="52" fillId="51" borderId="0" xfId="0" applyFont="1" applyFill="1" applyAlignment="1">
      <alignment horizontal="left" wrapText="1"/>
    </xf>
    <xf numFmtId="0" fontId="52" fillId="51" borderId="0" xfId="0" applyFont="1" applyFill="1" applyAlignment="1">
      <alignment horizontal="left" vertical="center" wrapText="1"/>
    </xf>
    <xf numFmtId="0" fontId="144" fillId="51" borderId="0" xfId="0" applyFont="1" applyFill="1" applyAlignment="1">
      <alignment horizontal="left" wrapText="1"/>
    </xf>
    <xf numFmtId="0" fontId="73" fillId="51" borderId="0" xfId="0" applyFont="1" applyFill="1" applyBorder="1" applyAlignment="1">
      <alignment horizontal="left" wrapText="1"/>
    </xf>
    <xf numFmtId="0" fontId="144" fillId="51" borderId="0" xfId="0" applyFont="1" applyFill="1" applyAlignment="1">
      <alignment horizontal="left" vertical="top" wrapText="1"/>
    </xf>
    <xf numFmtId="0" fontId="73" fillId="51" borderId="0" xfId="0" applyFont="1" applyFill="1" applyAlignment="1">
      <alignment horizontal="left" wrapText="1"/>
    </xf>
    <xf numFmtId="164" fontId="21" fillId="3" borderId="7" xfId="1" applyNumberFormat="1" applyFont="1" applyFill="1" applyBorder="1" applyAlignment="1">
      <alignment horizontal="center" vertical="center"/>
    </xf>
    <xf numFmtId="164" fontId="21" fillId="3" borderId="41" xfId="1" applyNumberFormat="1" applyFont="1" applyFill="1" applyBorder="1" applyAlignment="1">
      <alignment horizontal="center" vertical="center"/>
    </xf>
    <xf numFmtId="164" fontId="21" fillId="3" borderId="5" xfId="1" applyNumberFormat="1" applyFont="1" applyFill="1" applyBorder="1" applyAlignment="1">
      <alignment horizontal="center" vertical="center"/>
    </xf>
    <xf numFmtId="164" fontId="21" fillId="5" borderId="7" xfId="1" applyNumberFormat="1" applyFont="1" applyFill="1" applyBorder="1" applyAlignment="1">
      <alignment horizontal="center" vertical="center"/>
    </xf>
    <xf numFmtId="164" fontId="21" fillId="5" borderId="41" xfId="1" applyNumberFormat="1" applyFont="1" applyFill="1" applyBorder="1" applyAlignment="1">
      <alignment horizontal="center" vertical="center"/>
    </xf>
    <xf numFmtId="164" fontId="21" fillId="5" borderId="5" xfId="1" applyNumberFormat="1" applyFont="1" applyFill="1" applyBorder="1" applyAlignment="1">
      <alignment horizontal="center" vertical="center"/>
    </xf>
    <xf numFmtId="0" fontId="21" fillId="3" borderId="7"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5"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41" xfId="0" applyFont="1" applyFill="1" applyBorder="1" applyAlignment="1">
      <alignment horizontal="center" vertical="center"/>
    </xf>
    <xf numFmtId="0" fontId="21" fillId="5" borderId="5" xfId="0" applyFont="1" applyFill="1" applyBorder="1" applyAlignment="1">
      <alignment horizontal="center" vertical="center"/>
    </xf>
    <xf numFmtId="0" fontId="129" fillId="60" borderId="15" xfId="0" applyFont="1" applyFill="1" applyBorder="1" applyAlignment="1">
      <alignment horizontal="center" vertical="center" wrapText="1"/>
    </xf>
    <xf numFmtId="0" fontId="129" fillId="60" borderId="25" xfId="0" applyFont="1" applyFill="1" applyBorder="1" applyAlignment="1">
      <alignment horizontal="center" vertical="center" wrapText="1"/>
    </xf>
    <xf numFmtId="0" fontId="129" fillId="60" borderId="18" xfId="0" applyFont="1" applyFill="1" applyBorder="1" applyAlignment="1">
      <alignment horizontal="center" vertical="center" wrapText="1"/>
    </xf>
    <xf numFmtId="0" fontId="129" fillId="60" borderId="14" xfId="0" applyFont="1" applyFill="1" applyBorder="1" applyAlignment="1">
      <alignment horizontal="center" vertical="center" wrapText="1"/>
    </xf>
    <xf numFmtId="0" fontId="129" fillId="60" borderId="1" xfId="0" applyFont="1" applyFill="1" applyBorder="1" applyAlignment="1">
      <alignment horizontal="center" vertical="center" wrapText="1"/>
    </xf>
    <xf numFmtId="0" fontId="129" fillId="60" borderId="1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3" xfId="0" applyFont="1" applyBorder="1" applyAlignment="1">
      <alignment horizontal="center" vertical="center" wrapText="1"/>
    </xf>
    <xf numFmtId="4" fontId="4" fillId="0" borderId="26" xfId="1" applyNumberFormat="1" applyFont="1" applyFill="1" applyBorder="1" applyAlignment="1">
      <alignment horizontal="center" vertical="center" wrapText="1"/>
    </xf>
    <xf numFmtId="4" fontId="4" fillId="0" borderId="12" xfId="1" applyNumberFormat="1" applyFont="1" applyFill="1" applyBorder="1" applyAlignment="1">
      <alignment horizontal="center" vertical="center" wrapText="1"/>
    </xf>
    <xf numFmtId="4" fontId="4" fillId="0" borderId="11" xfId="1" applyNumberFormat="1" applyFont="1" applyFill="1" applyBorder="1" applyAlignment="1">
      <alignment horizontal="center" vertical="center" wrapText="1"/>
    </xf>
    <xf numFmtId="4" fontId="4" fillId="0" borderId="64" xfId="1" applyNumberFormat="1" applyFont="1" applyFill="1" applyBorder="1" applyAlignment="1">
      <alignment horizontal="center" vertical="center" wrapText="1"/>
    </xf>
    <xf numFmtId="4" fontId="4" fillId="0" borderId="61" xfId="1" applyNumberFormat="1" applyFont="1" applyFill="1" applyBorder="1" applyAlignment="1">
      <alignment horizontal="center" vertical="center" wrapText="1"/>
    </xf>
    <xf numFmtId="4" fontId="4" fillId="0" borderId="63" xfId="1" applyNumberFormat="1"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3" xfId="0" applyFont="1" applyBorder="1" applyAlignment="1">
      <alignment horizontal="center" vertical="center" wrapText="1"/>
    </xf>
    <xf numFmtId="0" fontId="19" fillId="74" borderId="10" xfId="0" applyFont="1" applyFill="1" applyBorder="1" applyAlignment="1">
      <alignment horizontal="center" vertical="center"/>
    </xf>
    <xf numFmtId="0" fontId="19" fillId="74" borderId="26" xfId="0" applyFont="1" applyFill="1" applyBorder="1" applyAlignment="1">
      <alignment horizontal="center" vertical="center"/>
    </xf>
    <xf numFmtId="0" fontId="19" fillId="73" borderId="10" xfId="0" applyFont="1" applyFill="1" applyBorder="1" applyAlignment="1">
      <alignment horizontal="center" vertical="center"/>
    </xf>
    <xf numFmtId="0" fontId="19" fillId="73" borderId="26" xfId="0" applyFont="1" applyFill="1" applyBorder="1" applyAlignment="1">
      <alignment horizontal="center" vertical="center"/>
    </xf>
    <xf numFmtId="10" fontId="4" fillId="57" borderId="41" xfId="0" applyNumberFormat="1" applyFont="1" applyFill="1" applyBorder="1" applyAlignment="1">
      <alignment horizontal="center" vertical="center"/>
    </xf>
    <xf numFmtId="10" fontId="4" fillId="57" borderId="5" xfId="0" applyNumberFormat="1" applyFont="1" applyFill="1" applyBorder="1" applyAlignment="1">
      <alignment horizontal="center" vertical="center"/>
    </xf>
    <xf numFmtId="0" fontId="19" fillId="72" borderId="10" xfId="0" applyFont="1" applyFill="1" applyBorder="1" applyAlignment="1">
      <alignment horizontal="center" vertical="center"/>
    </xf>
    <xf numFmtId="0" fontId="19" fillId="72" borderId="26" xfId="0" applyFont="1" applyFill="1" applyBorder="1" applyAlignment="1">
      <alignment horizontal="center" vertical="center"/>
    </xf>
    <xf numFmtId="4" fontId="4" fillId="56" borderId="41" xfId="1" applyNumberFormat="1" applyFont="1" applyFill="1" applyBorder="1" applyAlignment="1">
      <alignment horizontal="center" vertical="center"/>
    </xf>
    <xf numFmtId="4" fontId="4" fillId="56" borderId="5" xfId="1" applyNumberFormat="1" applyFont="1" applyFill="1" applyBorder="1" applyAlignment="1">
      <alignment horizontal="center" vertical="center"/>
    </xf>
    <xf numFmtId="0" fontId="4" fillId="0" borderId="4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0" xfId="0" applyFont="1" applyFill="1" applyBorder="1" applyAlignment="1">
      <alignment horizontal="center" vertical="center" wrapText="1"/>
    </xf>
    <xf numFmtId="10" fontId="4" fillId="3" borderId="32" xfId="0" applyNumberFormat="1" applyFont="1" applyFill="1" applyBorder="1" applyAlignment="1">
      <alignment horizontal="center" vertical="center"/>
    </xf>
    <xf numFmtId="10" fontId="4" fillId="3" borderId="14" xfId="0" applyNumberFormat="1" applyFont="1" applyFill="1" applyBorder="1" applyAlignment="1">
      <alignment horizontal="center" vertical="center"/>
    </xf>
    <xf numFmtId="10" fontId="4" fillId="4" borderId="41" xfId="0" applyNumberFormat="1" applyFont="1" applyFill="1" applyBorder="1" applyAlignment="1">
      <alignment horizontal="center" vertical="center"/>
    </xf>
    <xf numFmtId="10" fontId="4" fillId="4" borderId="5" xfId="0" applyNumberFormat="1" applyFont="1" applyFill="1" applyBorder="1" applyAlignment="1">
      <alignment horizontal="center" vertical="center"/>
    </xf>
    <xf numFmtId="10" fontId="4" fillId="56" borderId="41" xfId="0" applyNumberFormat="1" applyFont="1" applyFill="1" applyBorder="1" applyAlignment="1">
      <alignment horizontal="center" vertical="center"/>
    </xf>
    <xf numFmtId="10" fontId="4" fillId="56" borderId="5" xfId="0" applyNumberFormat="1" applyFont="1" applyFill="1" applyBorder="1" applyAlignment="1">
      <alignment horizontal="center" vertical="center"/>
    </xf>
    <xf numFmtId="0" fontId="126" fillId="60" borderId="19" xfId="0" applyFont="1" applyFill="1" applyBorder="1" applyAlignment="1">
      <alignment horizontal="center" vertical="center" wrapText="1"/>
    </xf>
    <xf numFmtId="0" fontId="126" fillId="60" borderId="39" xfId="0" applyFont="1" applyFill="1" applyBorder="1" applyAlignment="1">
      <alignment horizontal="center" vertical="center" wrapText="1"/>
    </xf>
    <xf numFmtId="0" fontId="126" fillId="60" borderId="23" xfId="0" applyFont="1" applyFill="1" applyBorder="1" applyAlignment="1">
      <alignment horizontal="center" vertical="center" wrapText="1"/>
    </xf>
    <xf numFmtId="0" fontId="126" fillId="60" borderId="7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115" fillId="60" borderId="8" xfId="0" applyFont="1" applyFill="1" applyBorder="1" applyAlignment="1">
      <alignment horizontal="center" vertical="center"/>
    </xf>
    <xf numFmtId="0" fontId="115" fillId="60" borderId="9" xfId="0" applyFont="1" applyFill="1" applyBorder="1" applyAlignment="1">
      <alignment horizontal="center" vertical="center"/>
    </xf>
    <xf numFmtId="0" fontId="4" fillId="0" borderId="7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4" xfId="0" applyFont="1" applyFill="1" applyBorder="1" applyAlignment="1">
      <alignment horizontal="center" vertical="center" wrapText="1"/>
    </xf>
    <xf numFmtId="0" fontId="4" fillId="0" borderId="41" xfId="0" applyFont="1" applyFill="1" applyBorder="1" applyAlignment="1">
      <alignment horizontal="center" vertical="center" wrapText="1"/>
    </xf>
    <xf numFmtId="10" fontId="4" fillId="54" borderId="41" xfId="0" applyNumberFormat="1" applyFont="1" applyFill="1" applyBorder="1" applyAlignment="1">
      <alignment horizontal="center" vertical="center"/>
    </xf>
    <xf numFmtId="10" fontId="4" fillId="54" borderId="5" xfId="0" applyNumberFormat="1" applyFont="1" applyFill="1" applyBorder="1" applyAlignment="1">
      <alignment horizontal="center" vertical="center"/>
    </xf>
    <xf numFmtId="10" fontId="4" fillId="3" borderId="41" xfId="0" applyNumberFormat="1" applyFont="1" applyFill="1" applyBorder="1" applyAlignment="1">
      <alignment horizontal="center" vertical="center"/>
    </xf>
    <xf numFmtId="10" fontId="4" fillId="3" borderId="5" xfId="0" applyNumberFormat="1" applyFont="1" applyFill="1" applyBorder="1" applyAlignment="1">
      <alignment horizontal="center" vertical="center"/>
    </xf>
    <xf numFmtId="0" fontId="72" fillId="60" borderId="64" xfId="0" applyFont="1" applyFill="1" applyBorder="1" applyAlignment="1">
      <alignment horizontal="center" vertical="center"/>
    </xf>
    <xf numFmtId="0" fontId="72" fillId="60" borderId="61" xfId="0" applyFont="1" applyFill="1" applyBorder="1" applyAlignment="1">
      <alignment horizontal="center" vertical="center"/>
    </xf>
    <xf numFmtId="0" fontId="35" fillId="3" borderId="6" xfId="0" applyFont="1" applyFill="1" applyBorder="1" applyAlignment="1">
      <alignment horizontal="right"/>
    </xf>
    <xf numFmtId="0" fontId="129" fillId="60" borderId="19" xfId="0" applyFont="1" applyFill="1" applyBorder="1" applyAlignment="1">
      <alignment horizontal="center" vertical="center" wrapText="1"/>
    </xf>
    <xf numFmtId="0" fontId="129" fillId="60" borderId="39" xfId="0" applyFont="1" applyFill="1" applyBorder="1" applyAlignment="1">
      <alignment horizontal="center" vertical="center" wrapText="1"/>
    </xf>
    <xf numFmtId="0" fontId="129" fillId="60" borderId="34" xfId="0" applyFont="1" applyFill="1" applyBorder="1" applyAlignment="1">
      <alignment horizontal="center" vertical="center" wrapText="1"/>
    </xf>
    <xf numFmtId="0" fontId="72" fillId="60" borderId="79" xfId="0" applyFont="1" applyFill="1" applyBorder="1" applyAlignment="1">
      <alignment horizontal="center" vertical="center"/>
    </xf>
    <xf numFmtId="0" fontId="72" fillId="60" borderId="67" xfId="0" applyFont="1" applyFill="1" applyBorder="1" applyAlignment="1">
      <alignment horizontal="center" vertical="center"/>
    </xf>
    <xf numFmtId="0" fontId="35" fillId="5" borderId="6" xfId="0" applyFont="1" applyFill="1" applyBorder="1" applyAlignment="1">
      <alignment horizontal="right"/>
    </xf>
    <xf numFmtId="0" fontId="17" fillId="0" borderId="15" xfId="0" applyFont="1" applyBorder="1" applyAlignment="1" applyProtection="1">
      <alignment horizontal="center" wrapText="1"/>
    </xf>
    <xf numFmtId="0" fontId="17" fillId="0" borderId="25" xfId="0" applyFont="1" applyBorder="1" applyAlignment="1" applyProtection="1">
      <alignment horizontal="center" wrapText="1"/>
    </xf>
    <xf numFmtId="0" fontId="17" fillId="0" borderId="18" xfId="0" applyFont="1" applyBorder="1" applyAlignment="1" applyProtection="1">
      <alignment horizontal="center" wrapText="1"/>
    </xf>
    <xf numFmtId="0" fontId="17" fillId="0" borderId="14" xfId="0" applyFont="1" applyBorder="1" applyAlignment="1" applyProtection="1">
      <alignment horizontal="center" wrapText="1"/>
    </xf>
    <xf numFmtId="0" fontId="17" fillId="0" borderId="1" xfId="0" applyFont="1" applyBorder="1" applyAlignment="1" applyProtection="1">
      <alignment horizontal="center" wrapText="1"/>
    </xf>
    <xf numFmtId="0" fontId="17" fillId="0" borderId="17" xfId="0" applyFont="1" applyBorder="1" applyAlignment="1" applyProtection="1">
      <alignment horizontal="center" wrapText="1"/>
    </xf>
    <xf numFmtId="0" fontId="4" fillId="5" borderId="7"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7" xfId="0" applyFont="1" applyFill="1" applyBorder="1" applyAlignment="1" applyProtection="1">
      <alignment horizontal="center" wrapText="1"/>
    </xf>
    <xf numFmtId="0" fontId="4" fillId="5" borderId="5" xfId="0" applyFont="1" applyFill="1" applyBorder="1" applyAlignment="1" applyProtection="1">
      <alignment horizontal="center" wrapText="1"/>
    </xf>
    <xf numFmtId="0" fontId="4" fillId="5" borderId="7" xfId="0" applyFont="1" applyFill="1" applyBorder="1" applyAlignment="1" applyProtection="1">
      <alignment horizontal="center"/>
    </xf>
    <xf numFmtId="0" fontId="4" fillId="5" borderId="5" xfId="0" applyFont="1" applyFill="1" applyBorder="1" applyAlignment="1" applyProtection="1">
      <alignment horizontal="center"/>
    </xf>
    <xf numFmtId="0" fontId="72" fillId="17" borderId="6" xfId="0" applyFont="1" applyFill="1" applyBorder="1" applyAlignment="1">
      <alignment horizontal="center"/>
    </xf>
    <xf numFmtId="0" fontId="72" fillId="17" borderId="5" xfId="0" applyFont="1" applyFill="1" applyBorder="1" applyAlignment="1">
      <alignment horizontal="center"/>
    </xf>
    <xf numFmtId="0" fontId="10" fillId="0" borderId="24" xfId="0" applyFont="1" applyFill="1" applyBorder="1" applyAlignment="1">
      <alignment horizontal="left"/>
    </xf>
    <xf numFmtId="0" fontId="72" fillId="18" borderId="6" xfId="0" applyFont="1" applyFill="1" applyBorder="1" applyAlignment="1">
      <alignment horizontal="center"/>
    </xf>
    <xf numFmtId="0" fontId="72" fillId="18" borderId="6" xfId="0" applyFont="1" applyFill="1" applyBorder="1" applyAlignment="1">
      <alignment horizontal="center" vertical="center"/>
    </xf>
    <xf numFmtId="0" fontId="0" fillId="0" borderId="6" xfId="0" applyBorder="1" applyAlignment="1">
      <alignment horizontal="center"/>
    </xf>
    <xf numFmtId="0" fontId="115" fillId="59" borderId="10" xfId="0" applyFont="1" applyFill="1" applyBorder="1" applyAlignment="1">
      <alignment horizontal="center"/>
    </xf>
    <xf numFmtId="0" fontId="115" fillId="59" borderId="8" xfId="0" applyFont="1" applyFill="1" applyBorder="1" applyAlignment="1">
      <alignment horizontal="center"/>
    </xf>
    <xf numFmtId="0" fontId="115" fillId="59" borderId="9" xfId="0" applyFont="1" applyFill="1" applyBorder="1" applyAlignment="1">
      <alignment horizontal="center"/>
    </xf>
    <xf numFmtId="0" fontId="42" fillId="12" borderId="10" xfId="0" applyFont="1" applyFill="1" applyBorder="1" applyAlignment="1">
      <alignment horizontal="center"/>
    </xf>
    <xf numFmtId="0" fontId="42" fillId="12" borderId="9" xfId="0" applyFont="1" applyFill="1" applyBorder="1" applyAlignment="1">
      <alignment horizontal="center"/>
    </xf>
    <xf numFmtId="180" fontId="132" fillId="0" borderId="0" xfId="3" applyNumberFormat="1" applyFont="1" applyAlignment="1">
      <alignment horizontal="left" vertical="top" wrapText="1"/>
    </xf>
    <xf numFmtId="0" fontId="42" fillId="12" borderId="8" xfId="0" applyFont="1" applyFill="1" applyBorder="1" applyAlignment="1">
      <alignment horizontal="center"/>
    </xf>
    <xf numFmtId="0" fontId="52" fillId="0" borderId="0" xfId="3" applyNumberFormat="1" applyFont="1" applyAlignment="1">
      <alignment horizontal="left" vertical="top" wrapText="1"/>
    </xf>
    <xf numFmtId="0" fontId="61" fillId="12" borderId="10" xfId="0" applyFont="1" applyFill="1" applyBorder="1" applyAlignment="1">
      <alignment horizontal="center"/>
    </xf>
    <xf numFmtId="0" fontId="61" fillId="12" borderId="8" xfId="0" applyFont="1" applyFill="1" applyBorder="1" applyAlignment="1">
      <alignment horizontal="center"/>
    </xf>
    <xf numFmtId="0" fontId="61" fillId="12" borderId="9" xfId="0" applyFont="1" applyFill="1" applyBorder="1" applyAlignment="1">
      <alignment horizontal="center"/>
    </xf>
    <xf numFmtId="0" fontId="42" fillId="12" borderId="72" xfId="0" applyFont="1" applyFill="1" applyBorder="1" applyAlignment="1">
      <alignment horizontal="center"/>
    </xf>
    <xf numFmtId="0" fontId="42" fillId="12" borderId="13" xfId="0" applyFont="1" applyFill="1" applyBorder="1" applyAlignment="1">
      <alignment horizontal="center"/>
    </xf>
    <xf numFmtId="0" fontId="42" fillId="12" borderId="39" xfId="0" applyFont="1" applyFill="1" applyBorder="1" applyAlignment="1">
      <alignment horizontal="center"/>
    </xf>
    <xf numFmtId="0" fontId="42" fillId="12" borderId="19" xfId="0" applyFont="1" applyFill="1" applyBorder="1" applyAlignment="1">
      <alignment horizontal="center"/>
    </xf>
    <xf numFmtId="0" fontId="147" fillId="0" borderId="84" xfId="2" applyFont="1" applyBorder="1" applyAlignment="1" applyProtection="1">
      <alignment horizontal="center"/>
    </xf>
    <xf numFmtId="0" fontId="133" fillId="0" borderId="0" xfId="0" applyFont="1" applyAlignment="1">
      <alignment horizontal="left" vertical="top" wrapText="1"/>
    </xf>
    <xf numFmtId="0" fontId="70" fillId="2" borderId="80" xfId="0" applyFont="1" applyFill="1" applyBorder="1" applyAlignment="1">
      <alignment horizontal="center"/>
    </xf>
    <xf numFmtId="0" fontId="70" fillId="2" borderId="83" xfId="0" applyFont="1" applyFill="1" applyBorder="1" applyAlignment="1">
      <alignment horizontal="center"/>
    </xf>
    <xf numFmtId="0" fontId="110" fillId="12" borderId="10" xfId="0" applyFont="1" applyFill="1" applyBorder="1" applyAlignment="1">
      <alignment horizontal="center"/>
    </xf>
    <xf numFmtId="0" fontId="110" fillId="12" borderId="8" xfId="0" applyFont="1" applyFill="1" applyBorder="1" applyAlignment="1">
      <alignment horizontal="center"/>
    </xf>
    <xf numFmtId="0" fontId="110" fillId="12" borderId="9" xfId="0" applyFont="1" applyFill="1" applyBorder="1" applyAlignment="1">
      <alignment horizontal="center"/>
    </xf>
    <xf numFmtId="0" fontId="10" fillId="0" borderId="0" xfId="0" applyFont="1" applyFill="1" applyBorder="1" applyAlignment="1">
      <alignment horizontal="left"/>
    </xf>
    <xf numFmtId="0" fontId="10" fillId="0" borderId="33" xfId="0" applyFont="1" applyFill="1" applyBorder="1" applyAlignment="1">
      <alignment horizontal="left"/>
    </xf>
    <xf numFmtId="0" fontId="115" fillId="59" borderId="10" xfId="0" applyFont="1" applyFill="1" applyBorder="1" applyAlignment="1">
      <alignment horizontal="center" vertical="center"/>
    </xf>
    <xf numFmtId="0" fontId="115" fillId="59" borderId="8" xfId="0" applyFont="1" applyFill="1" applyBorder="1" applyAlignment="1">
      <alignment horizontal="center" vertical="center"/>
    </xf>
    <xf numFmtId="0" fontId="10" fillId="0" borderId="0" xfId="0" applyFont="1" applyBorder="1" applyAlignment="1">
      <alignment horizontal="left"/>
    </xf>
    <xf numFmtId="0" fontId="10" fillId="0" borderId="33" xfId="0" applyFont="1" applyBorder="1" applyAlignment="1">
      <alignment horizontal="left"/>
    </xf>
    <xf numFmtId="0" fontId="23" fillId="6" borderId="8" xfId="0" applyFont="1" applyFill="1" applyBorder="1" applyAlignment="1">
      <alignment horizontal="left"/>
    </xf>
    <xf numFmtId="0" fontId="23" fillId="6" borderId="9" xfId="0" applyFont="1" applyFill="1" applyBorder="1" applyAlignment="1">
      <alignment horizontal="left"/>
    </xf>
    <xf numFmtId="0" fontId="52" fillId="0" borderId="0" xfId="3" applyNumberFormat="1" applyFont="1" applyBorder="1" applyAlignment="1">
      <alignment horizontal="left" vertical="top" wrapText="1"/>
    </xf>
    <xf numFmtId="0" fontId="57" fillId="0" borderId="24" xfId="0" applyFont="1" applyFill="1" applyBorder="1" applyAlignment="1">
      <alignment horizontal="left"/>
    </xf>
    <xf numFmtId="0" fontId="35" fillId="6" borderId="10" xfId="0" applyFont="1" applyFill="1" applyBorder="1" applyAlignment="1" applyProtection="1">
      <alignment horizontal="right" vertical="center"/>
      <protection locked="0"/>
    </xf>
    <xf numFmtId="0" fontId="35" fillId="6" borderId="8" xfId="0" applyFont="1" applyFill="1" applyBorder="1" applyAlignment="1" applyProtection="1">
      <alignment horizontal="right" vertical="center"/>
      <protection locked="0"/>
    </xf>
    <xf numFmtId="0" fontId="35" fillId="0" borderId="49" xfId="0" applyFont="1" applyFill="1" applyBorder="1" applyAlignment="1">
      <alignment horizontal="right"/>
    </xf>
    <xf numFmtId="0" fontId="35" fillId="0" borderId="8" xfId="0" applyFont="1" applyFill="1" applyBorder="1" applyAlignment="1">
      <alignment horizontal="right"/>
    </xf>
    <xf numFmtId="0" fontId="35" fillId="9" borderId="10" xfId="0" applyFont="1" applyFill="1" applyBorder="1" applyAlignment="1">
      <alignment horizontal="right"/>
    </xf>
    <xf numFmtId="0" fontId="35" fillId="9" borderId="8" xfId="0" applyFont="1" applyFill="1" applyBorder="1" applyAlignment="1">
      <alignment horizontal="right"/>
    </xf>
    <xf numFmtId="0" fontId="57" fillId="0" borderId="48" xfId="0" applyFont="1" applyBorder="1" applyAlignment="1">
      <alignment horizontal="left"/>
    </xf>
    <xf numFmtId="0" fontId="57" fillId="0" borderId="24" xfId="0" applyFont="1" applyBorder="1" applyAlignment="1">
      <alignment horizontal="left"/>
    </xf>
    <xf numFmtId="0" fontId="14" fillId="62" borderId="15" xfId="0" applyFont="1" applyFill="1" applyBorder="1" applyAlignment="1">
      <alignment horizontal="left"/>
    </xf>
    <xf numFmtId="0" fontId="14" fillId="62" borderId="25" xfId="0" applyFont="1" applyFill="1" applyBorder="1" applyAlignment="1">
      <alignment horizontal="left"/>
    </xf>
    <xf numFmtId="0" fontId="14" fillId="62" borderId="18" xfId="0" applyFont="1" applyFill="1" applyBorder="1" applyAlignment="1">
      <alignment horizontal="left"/>
    </xf>
    <xf numFmtId="0" fontId="57" fillId="0" borderId="48" xfId="0" applyFont="1" applyFill="1" applyBorder="1" applyAlignment="1">
      <alignment horizontal="left"/>
    </xf>
    <xf numFmtId="169" fontId="35" fillId="0" borderId="3" xfId="0" applyNumberFormat="1" applyFont="1" applyBorder="1" applyAlignment="1">
      <alignment horizontal="center"/>
    </xf>
    <xf numFmtId="169" fontId="35" fillId="0" borderId="2" xfId="0" applyNumberFormat="1" applyFont="1" applyBorder="1" applyAlignment="1">
      <alignment horizontal="center"/>
    </xf>
    <xf numFmtId="169" fontId="35" fillId="0" borderId="4" xfId="0" applyNumberFormat="1" applyFont="1" applyBorder="1" applyAlignment="1">
      <alignment horizontal="center"/>
    </xf>
    <xf numFmtId="168" fontId="35" fillId="0" borderId="3" xfId="0" applyNumberFormat="1" applyFont="1" applyBorder="1" applyAlignment="1" applyProtection="1">
      <alignment horizontal="center" vertical="top"/>
      <protection locked="0"/>
    </xf>
    <xf numFmtId="168" fontId="35" fillId="0" borderId="2" xfId="0" applyNumberFormat="1" applyFont="1" applyBorder="1" applyAlignment="1" applyProtection="1">
      <alignment horizontal="center" vertical="top"/>
      <protection locked="0"/>
    </xf>
    <xf numFmtId="168" fontId="35" fillId="0" borderId="4" xfId="0" applyNumberFormat="1" applyFont="1" applyBorder="1" applyAlignment="1" applyProtection="1">
      <alignment horizontal="center" vertical="top"/>
      <protection locked="0"/>
    </xf>
    <xf numFmtId="169" fontId="18" fillId="0" borderId="32" xfId="0" applyNumberFormat="1" applyFont="1" applyBorder="1" applyAlignment="1">
      <alignment horizontal="right"/>
    </xf>
    <xf numFmtId="169" fontId="18" fillId="0" borderId="0" xfId="0" applyNumberFormat="1" applyFont="1" applyBorder="1" applyAlignment="1">
      <alignment horizontal="right"/>
    </xf>
    <xf numFmtId="169" fontId="18" fillId="0" borderId="14" xfId="0" applyNumberFormat="1" applyFont="1" applyBorder="1" applyAlignment="1">
      <alignment horizontal="right"/>
    </xf>
    <xf numFmtId="169" fontId="18" fillId="0" borderId="1" xfId="0" applyNumberFormat="1" applyFont="1" applyBorder="1" applyAlignment="1">
      <alignment horizontal="right"/>
    </xf>
    <xf numFmtId="0" fontId="18" fillId="0" borderId="32" xfId="0" applyFont="1" applyBorder="1" applyAlignment="1">
      <alignment horizontal="right"/>
    </xf>
    <xf numFmtId="0" fontId="18" fillId="0" borderId="0" xfId="0" applyFont="1" applyBorder="1" applyAlignment="1">
      <alignment horizontal="right"/>
    </xf>
    <xf numFmtId="0" fontId="18" fillId="0" borderId="3" xfId="0" applyFont="1" applyBorder="1" applyAlignment="1">
      <alignment horizontal="right"/>
    </xf>
    <xf numFmtId="0" fontId="18" fillId="0" borderId="2" xfId="0" applyFont="1" applyBorder="1" applyAlignment="1">
      <alignment horizontal="right"/>
    </xf>
    <xf numFmtId="169" fontId="35" fillId="0" borderId="3" xfId="0" applyNumberFormat="1" applyFont="1" applyFill="1" applyBorder="1" applyAlignment="1">
      <alignment horizontal="right"/>
    </xf>
    <xf numFmtId="169" fontId="35" fillId="0" borderId="2" xfId="0" applyNumberFormat="1" applyFont="1" applyFill="1" applyBorder="1" applyAlignment="1">
      <alignment horizontal="right"/>
    </xf>
    <xf numFmtId="0" fontId="2" fillId="0" borderId="0" xfId="0" applyFont="1" applyAlignment="1">
      <alignment horizontal="center"/>
    </xf>
    <xf numFmtId="0" fontId="61" fillId="12" borderId="10" xfId="0" applyFont="1" applyFill="1" applyBorder="1" applyAlignment="1">
      <alignment horizontal="left"/>
    </xf>
    <xf numFmtId="0" fontId="61" fillId="12" borderId="8" xfId="0" applyFont="1" applyFill="1" applyBorder="1" applyAlignment="1">
      <alignment horizontal="left"/>
    </xf>
    <xf numFmtId="0" fontId="61" fillId="12" borderId="9" xfId="0" applyFont="1" applyFill="1" applyBorder="1" applyAlignment="1">
      <alignment horizontal="left"/>
    </xf>
    <xf numFmtId="0" fontId="35" fillId="6" borderId="10" xfId="0" applyFont="1" applyFill="1" applyBorder="1" applyAlignment="1">
      <alignment horizontal="right" vertical="center"/>
    </xf>
    <xf numFmtId="0" fontId="35" fillId="6" borderId="8" xfId="0" applyFont="1" applyFill="1" applyBorder="1" applyAlignment="1">
      <alignment horizontal="right" vertical="center"/>
    </xf>
    <xf numFmtId="0" fontId="35" fillId="0" borderId="49" xfId="0" applyFont="1" applyFill="1" applyBorder="1" applyAlignment="1">
      <alignment horizontal="right" vertical="center"/>
    </xf>
    <xf numFmtId="0" fontId="35" fillId="0" borderId="8" xfId="0" applyFont="1" applyFill="1" applyBorder="1" applyAlignment="1">
      <alignment horizontal="right" vertical="center"/>
    </xf>
    <xf numFmtId="0" fontId="35" fillId="9" borderId="10" xfId="0" applyFont="1" applyFill="1" applyBorder="1" applyAlignment="1">
      <alignment horizontal="right" vertical="center"/>
    </xf>
    <xf numFmtId="0" fontId="35" fillId="9" borderId="8" xfId="0" applyFont="1" applyFill="1" applyBorder="1" applyAlignment="1">
      <alignment horizontal="right" vertical="center"/>
    </xf>
    <xf numFmtId="0" fontId="4" fillId="0" borderId="0" xfId="0" applyFont="1" applyBorder="1" applyAlignment="1">
      <alignment horizontal="center" vertical="center"/>
    </xf>
    <xf numFmtId="0" fontId="14" fillId="62" borderId="32" xfId="0" applyFont="1" applyFill="1" applyBorder="1" applyAlignment="1">
      <alignment horizontal="left"/>
    </xf>
    <xf numFmtId="0" fontId="14" fillId="62" borderId="0" xfId="0" applyFont="1" applyFill="1" applyBorder="1" applyAlignment="1">
      <alignment horizontal="left"/>
    </xf>
    <xf numFmtId="0" fontId="14" fillId="62" borderId="33" xfId="0" applyFont="1" applyFill="1" applyBorder="1" applyAlignment="1">
      <alignment horizontal="left"/>
    </xf>
    <xf numFmtId="0" fontId="104" fillId="59" borderId="8" xfId="0" applyFont="1" applyFill="1" applyBorder="1" applyAlignment="1">
      <alignment horizontal="center"/>
    </xf>
    <xf numFmtId="0" fontId="104" fillId="59" borderId="9" xfId="0" applyFont="1" applyFill="1" applyBorder="1" applyAlignment="1">
      <alignment horizontal="center"/>
    </xf>
    <xf numFmtId="0" fontId="13" fillId="0" borderId="0" xfId="0" applyFont="1" applyBorder="1" applyAlignment="1">
      <alignment horizontal="left" vertical="top" wrapText="1"/>
    </xf>
    <xf numFmtId="0" fontId="19" fillId="6" borderId="10"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9" xfId="0" applyFont="1" applyFill="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1" xfId="0" applyFont="1" applyBorder="1" applyAlignment="1">
      <alignment horizontal="center" vertical="center" wrapText="1"/>
    </xf>
    <xf numFmtId="0" fontId="23" fillId="0" borderId="0" xfId="0" applyFont="1" applyAlignment="1">
      <alignment horizontal="right" vertical="center"/>
    </xf>
    <xf numFmtId="0" fontId="135" fillId="0" borderId="0" xfId="0" applyFont="1" applyFill="1" applyBorder="1" applyAlignment="1">
      <alignment horizontal="left" vertical="center" wrapText="1"/>
    </xf>
    <xf numFmtId="0" fontId="124" fillId="6" borderId="10" xfId="0" applyFont="1" applyFill="1" applyBorder="1" applyAlignment="1">
      <alignment horizontal="center"/>
    </xf>
    <xf numFmtId="0" fontId="124" fillId="6" borderId="8" xfId="0" applyFont="1" applyFill="1" applyBorder="1" applyAlignment="1">
      <alignment horizontal="center"/>
    </xf>
    <xf numFmtId="0" fontId="124" fillId="6" borderId="9" xfId="0" applyFont="1" applyFill="1" applyBorder="1" applyAlignment="1">
      <alignment horizontal="center"/>
    </xf>
    <xf numFmtId="0" fontId="61" fillId="12" borderId="19" xfId="0" applyFont="1" applyFill="1" applyBorder="1" applyAlignment="1">
      <alignment horizontal="center"/>
    </xf>
    <xf numFmtId="0" fontId="61" fillId="12" borderId="13" xfId="0" applyFont="1" applyFill="1" applyBorder="1" applyAlignment="1">
      <alignment horizontal="center"/>
    </xf>
    <xf numFmtId="0" fontId="117" fillId="6" borderId="10" xfId="0" applyFont="1" applyFill="1" applyBorder="1" applyAlignment="1">
      <alignment horizontal="center"/>
    </xf>
    <xf numFmtId="0" fontId="117" fillId="6" borderId="8" xfId="0" applyFont="1" applyFill="1" applyBorder="1" applyAlignment="1">
      <alignment horizontal="center"/>
    </xf>
    <xf numFmtId="0" fontId="117" fillId="6" borderId="9" xfId="0" applyFont="1" applyFill="1" applyBorder="1" applyAlignment="1">
      <alignment horizontal="center"/>
    </xf>
    <xf numFmtId="0" fontId="142" fillId="0" borderId="0" xfId="0" applyFont="1" applyAlignment="1">
      <alignment horizontal="left" vertical="top" wrapText="1"/>
    </xf>
    <xf numFmtId="0" fontId="35" fillId="0" borderId="40" xfId="0" applyFont="1" applyFill="1" applyBorder="1" applyAlignment="1">
      <alignment horizontal="center"/>
    </xf>
    <xf numFmtId="0" fontId="35" fillId="0" borderId="2" xfId="0" applyFont="1" applyFill="1" applyBorder="1" applyAlignment="1">
      <alignment horizontal="center"/>
    </xf>
    <xf numFmtId="0" fontId="35" fillId="0" borderId="67" xfId="0" applyFont="1" applyFill="1" applyBorder="1" applyAlignment="1">
      <alignment horizontal="center"/>
    </xf>
    <xf numFmtId="0" fontId="21" fillId="0" borderId="3" xfId="0" applyFont="1" applyFill="1" applyBorder="1" applyAlignment="1">
      <alignment horizontal="right"/>
    </xf>
    <xf numFmtId="0" fontId="21" fillId="0" borderId="2" xfId="0" applyFont="1" applyFill="1" applyBorder="1" applyAlignment="1">
      <alignment horizontal="right"/>
    </xf>
    <xf numFmtId="0" fontId="61" fillId="12" borderId="26" xfId="0" applyFont="1" applyFill="1" applyBorder="1" applyAlignment="1">
      <alignment horizontal="center"/>
    </xf>
    <xf numFmtId="0" fontId="61" fillId="12" borderId="20" xfId="0" applyFont="1" applyFill="1" applyBorder="1" applyAlignment="1">
      <alignment horizontal="center"/>
    </xf>
    <xf numFmtId="0" fontId="135" fillId="0" borderId="0" xfId="0" applyFont="1" applyAlignment="1">
      <alignment horizontal="left" vertical="top" wrapText="1"/>
    </xf>
    <xf numFmtId="0" fontId="61" fillId="12" borderId="23" xfId="0" applyFont="1" applyFill="1" applyBorder="1" applyAlignment="1">
      <alignment horizontal="center"/>
    </xf>
    <xf numFmtId="0" fontId="61" fillId="12" borderId="16" xfId="0" applyFont="1" applyFill="1" applyBorder="1" applyAlignment="1">
      <alignment horizontal="center"/>
    </xf>
    <xf numFmtId="0" fontId="135" fillId="0" borderId="0" xfId="0" applyFont="1" applyAlignment="1">
      <alignment horizontal="left" wrapText="1"/>
    </xf>
    <xf numFmtId="0" fontId="52" fillId="0" borderId="0" xfId="0" applyFont="1" applyAlignment="1">
      <alignment horizontal="left" vertical="top" wrapText="1"/>
    </xf>
    <xf numFmtId="0" fontId="61" fillId="12" borderId="11" xfId="0" applyFont="1" applyFill="1" applyBorder="1" applyAlignment="1">
      <alignment horizontal="center"/>
    </xf>
    <xf numFmtId="0" fontId="117" fillId="10" borderId="10" xfId="0" applyFont="1" applyFill="1" applyBorder="1" applyAlignment="1">
      <alignment horizontal="center"/>
    </xf>
    <xf numFmtId="0" fontId="117" fillId="10" borderId="8" xfId="0" applyFont="1" applyFill="1" applyBorder="1" applyAlignment="1">
      <alignment horizontal="center"/>
    </xf>
    <xf numFmtId="0" fontId="117" fillId="10" borderId="9" xfId="0" applyFont="1" applyFill="1" applyBorder="1" applyAlignment="1">
      <alignment horizontal="center"/>
    </xf>
    <xf numFmtId="0" fontId="52" fillId="0" borderId="16" xfId="0" applyFont="1" applyBorder="1" applyAlignment="1">
      <alignment horizontal="left" wrapText="1"/>
    </xf>
    <xf numFmtId="0" fontId="35" fillId="0" borderId="3" xfId="0" applyFont="1" applyFill="1" applyBorder="1" applyAlignment="1">
      <alignment horizontal="center"/>
    </xf>
    <xf numFmtId="0" fontId="42" fillId="12" borderId="26" xfId="0" applyFont="1" applyFill="1" applyBorder="1" applyAlignment="1">
      <alignment horizontal="center"/>
    </xf>
    <xf numFmtId="0" fontId="61" fillId="52" borderId="10" xfId="0" applyFont="1" applyFill="1" applyBorder="1" applyAlignment="1">
      <alignment horizontal="center"/>
    </xf>
    <xf numFmtId="0" fontId="61" fillId="52" borderId="8" xfId="0" applyFont="1" applyFill="1" applyBorder="1" applyAlignment="1">
      <alignment horizontal="center"/>
    </xf>
    <xf numFmtId="0" fontId="61" fillId="52" borderId="9" xfId="0" applyFont="1" applyFill="1" applyBorder="1" applyAlignment="1">
      <alignment horizontal="center"/>
    </xf>
    <xf numFmtId="0" fontId="0" fillId="0" borderId="34" xfId="0" applyBorder="1" applyAlignment="1">
      <alignment horizontal="center"/>
    </xf>
    <xf numFmtId="0" fontId="0" fillId="0" borderId="1" xfId="0" applyBorder="1" applyAlignment="1">
      <alignment horizontal="center"/>
    </xf>
    <xf numFmtId="3" fontId="45" fillId="0" borderId="40" xfId="0" applyNumberFormat="1" applyFont="1" applyFill="1" applyBorder="1" applyAlignment="1">
      <alignment horizontal="left"/>
    </xf>
    <xf numFmtId="3" fontId="45" fillId="0" borderId="2" xfId="0" applyNumberFormat="1" applyFont="1" applyFill="1" applyBorder="1" applyAlignment="1">
      <alignment horizontal="left"/>
    </xf>
    <xf numFmtId="3" fontId="45" fillId="0" borderId="4" xfId="0" applyNumberFormat="1" applyFont="1" applyFill="1" applyBorder="1" applyAlignment="1">
      <alignment horizontal="left"/>
    </xf>
    <xf numFmtId="3" fontId="45" fillId="0" borderId="21" xfId="0" applyNumberFormat="1" applyFont="1" applyFill="1" applyBorder="1" applyAlignment="1">
      <alignment horizontal="left" vertical="top" wrapText="1"/>
    </xf>
    <xf numFmtId="3" fontId="45" fillId="0" borderId="6" xfId="0" applyNumberFormat="1" applyFont="1" applyFill="1" applyBorder="1" applyAlignment="1">
      <alignment horizontal="left" vertical="top" wrapText="1"/>
    </xf>
    <xf numFmtId="0" fontId="45" fillId="0" borderId="6" xfId="0" applyFont="1" applyFill="1" applyBorder="1" applyAlignment="1">
      <alignment horizontal="center"/>
    </xf>
    <xf numFmtId="0" fontId="0" fillId="0" borderId="21" xfId="0" applyBorder="1" applyAlignment="1">
      <alignment horizontal="left" vertical="top" wrapText="1"/>
    </xf>
    <xf numFmtId="0" fontId="0" fillId="0" borderId="6" xfId="0" applyBorder="1" applyAlignment="1">
      <alignment horizontal="left" vertical="top" wrapText="1"/>
    </xf>
    <xf numFmtId="0" fontId="35" fillId="0" borderId="4" xfId="0" applyFont="1" applyFill="1" applyBorder="1" applyAlignment="1">
      <alignment horizontal="center"/>
    </xf>
    <xf numFmtId="0" fontId="0" fillId="0" borderId="17" xfId="0" applyBorder="1" applyAlignment="1">
      <alignment horizontal="center"/>
    </xf>
    <xf numFmtId="0" fontId="21" fillId="0" borderId="21" xfId="0" applyFont="1" applyBorder="1" applyAlignment="1">
      <alignment horizontal="center"/>
    </xf>
    <xf numFmtId="0" fontId="21" fillId="0" borderId="6" xfId="0" applyFont="1" applyBorder="1" applyAlignment="1">
      <alignment horizontal="center"/>
    </xf>
    <xf numFmtId="0" fontId="21" fillId="0" borderId="20" xfId="0" applyFont="1" applyBorder="1" applyAlignment="1">
      <alignment horizontal="center"/>
    </xf>
    <xf numFmtId="0" fontId="21" fillId="0" borderId="0" xfId="0" applyFont="1" applyBorder="1" applyAlignment="1">
      <alignment horizontal="center"/>
    </xf>
    <xf numFmtId="0" fontId="21" fillId="0" borderId="33" xfId="0" applyFont="1" applyBorder="1" applyAlignment="1">
      <alignment horizontal="center"/>
    </xf>
    <xf numFmtId="0" fontId="0" fillId="0" borderId="21" xfId="0" applyBorder="1" applyAlignment="1">
      <alignment horizontal="left"/>
    </xf>
    <xf numFmtId="0" fontId="0" fillId="0" borderId="6" xfId="0" applyBorder="1" applyAlignment="1">
      <alignment horizontal="left"/>
    </xf>
    <xf numFmtId="0" fontId="18" fillId="0" borderId="6" xfId="0" applyFont="1" applyFill="1" applyBorder="1" applyAlignment="1">
      <alignment horizontal="center" vertical="center"/>
    </xf>
    <xf numFmtId="0" fontId="21" fillId="0" borderId="19" xfId="0" applyFont="1" applyBorder="1" applyAlignment="1">
      <alignment horizontal="center"/>
    </xf>
    <xf numFmtId="0" fontId="21" fillId="0" borderId="13" xfId="0" applyFont="1" applyBorder="1" applyAlignment="1">
      <alignment horizontal="center"/>
    </xf>
    <xf numFmtId="0" fontId="21" fillId="0" borderId="46" xfId="0" applyFont="1" applyBorder="1" applyAlignment="1">
      <alignment horizontal="center"/>
    </xf>
    <xf numFmtId="0" fontId="21" fillId="0" borderId="25" xfId="0" applyFont="1" applyBorder="1" applyAlignment="1">
      <alignment horizontal="center"/>
    </xf>
    <xf numFmtId="0" fontId="35" fillId="0" borderId="0" xfId="0" applyFont="1" applyFill="1" applyBorder="1" applyAlignment="1">
      <alignment horizontal="center"/>
    </xf>
    <xf numFmtId="0" fontId="35" fillId="0" borderId="12" xfId="0" applyFont="1" applyFill="1" applyBorder="1" applyAlignment="1">
      <alignment horizontal="center"/>
    </xf>
    <xf numFmtId="0" fontId="35" fillId="0" borderId="18" xfId="0" applyFont="1" applyFill="1" applyBorder="1" applyAlignment="1">
      <alignment horizontal="center"/>
    </xf>
    <xf numFmtId="3" fontId="45" fillId="0" borderId="46" xfId="0" applyNumberFormat="1" applyFont="1" applyFill="1" applyBorder="1" applyAlignment="1">
      <alignment horizontal="left" vertical="top" wrapText="1"/>
    </xf>
    <xf numFmtId="3" fontId="45" fillId="0" borderId="25" xfId="0" applyNumberFormat="1" applyFont="1" applyFill="1" applyBorder="1" applyAlignment="1">
      <alignment horizontal="left" vertical="top" wrapText="1"/>
    </xf>
    <xf numFmtId="0" fontId="21" fillId="0" borderId="40" xfId="0" applyFont="1" applyBorder="1" applyAlignment="1">
      <alignment horizontal="center"/>
    </xf>
    <xf numFmtId="0" fontId="21" fillId="0" borderId="2" xfId="0" applyFont="1" applyBorder="1" applyAlignment="1">
      <alignment horizontal="center"/>
    </xf>
    <xf numFmtId="0" fontId="143" fillId="70" borderId="46" xfId="0" applyFont="1" applyFill="1" applyBorder="1" applyAlignment="1">
      <alignment horizontal="center"/>
    </xf>
    <xf numFmtId="0" fontId="143" fillId="70" borderId="25" xfId="0" applyFont="1" applyFill="1" applyBorder="1" applyAlignment="1">
      <alignment horizontal="center"/>
    </xf>
    <xf numFmtId="0" fontId="143" fillId="70" borderId="18" xfId="0" applyFont="1" applyFill="1" applyBorder="1" applyAlignment="1">
      <alignment horizontal="center"/>
    </xf>
    <xf numFmtId="0" fontId="90" fillId="0" borderId="0" xfId="0" applyFont="1" applyBorder="1" applyAlignment="1">
      <alignment horizontal="left" vertical="center" wrapText="1"/>
    </xf>
    <xf numFmtId="166" fontId="46" fillId="14" borderId="3" xfId="0" applyNumberFormat="1" applyFont="1" applyFill="1" applyBorder="1" applyAlignment="1">
      <alignment horizontal="center"/>
    </xf>
    <xf numFmtId="166" fontId="46" fillId="14" borderId="2" xfId="0" applyNumberFormat="1" applyFont="1" applyFill="1" applyBorder="1" applyAlignment="1">
      <alignment horizontal="center"/>
    </xf>
    <xf numFmtId="166" fontId="46" fillId="14" borderId="4" xfId="0" applyNumberFormat="1" applyFont="1" applyFill="1" applyBorder="1" applyAlignment="1">
      <alignment horizontal="center"/>
    </xf>
    <xf numFmtId="3" fontId="45" fillId="0" borderId="0" xfId="0" applyNumberFormat="1" applyFont="1" applyFill="1" applyBorder="1" applyAlignment="1">
      <alignment horizontal="left"/>
    </xf>
    <xf numFmtId="3" fontId="45" fillId="0" borderId="0" xfId="0" applyNumberFormat="1" applyFont="1" applyFill="1" applyBorder="1" applyAlignment="1">
      <alignment horizontal="left" vertical="top" wrapText="1"/>
    </xf>
    <xf numFmtId="0" fontId="45" fillId="0" borderId="33" xfId="0" applyFont="1" applyFill="1"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33" xfId="0" applyBorder="1" applyAlignment="1">
      <alignment horizontal="center"/>
    </xf>
    <xf numFmtId="0" fontId="21" fillId="0" borderId="32" xfId="0" applyFont="1" applyBorder="1" applyAlignment="1">
      <alignment horizontal="center"/>
    </xf>
    <xf numFmtId="0" fontId="117" fillId="51" borderId="10" xfId="0" applyFont="1" applyFill="1" applyBorder="1" applyAlignment="1">
      <alignment horizontal="center"/>
    </xf>
    <xf numFmtId="0" fontId="117" fillId="51" borderId="8" xfId="0" applyFont="1" applyFill="1" applyBorder="1" applyAlignment="1">
      <alignment horizontal="center"/>
    </xf>
    <xf numFmtId="0" fontId="117" fillId="51" borderId="9" xfId="0" applyFont="1" applyFill="1" applyBorder="1" applyAlignment="1">
      <alignment horizontal="center"/>
    </xf>
    <xf numFmtId="0" fontId="69" fillId="2" borderId="80" xfId="0" applyFont="1" applyFill="1" applyBorder="1" applyAlignment="1">
      <alignment horizontal="center" wrapText="1"/>
    </xf>
    <xf numFmtId="0" fontId="69" fillId="2" borderId="81" xfId="0" applyFont="1" applyFill="1" applyBorder="1" applyAlignment="1">
      <alignment horizontal="center" wrapText="1"/>
    </xf>
    <xf numFmtId="0" fontId="4" fillId="2" borderId="80" xfId="0" applyFont="1" applyFill="1" applyBorder="1" applyAlignment="1">
      <alignment horizontal="center" wrapText="1"/>
    </xf>
    <xf numFmtId="0" fontId="4" fillId="2" borderId="81" xfId="0" applyFont="1" applyFill="1" applyBorder="1" applyAlignment="1">
      <alignment horizontal="center" wrapText="1"/>
    </xf>
    <xf numFmtId="0" fontId="148" fillId="0" borderId="0" xfId="0" applyFont="1" applyFill="1" applyBorder="1" applyAlignment="1">
      <alignment horizontal="left" vertical="center" wrapText="1"/>
    </xf>
  </cellXfs>
  <cellStyles count="194">
    <cellStyle name="20% - Accent1" xfId="27" builtinId="30" customBuiltin="1"/>
    <cellStyle name="20% - Accent1 2" xfId="57" xr:uid="{00000000-0005-0000-0000-000001000000}"/>
    <cellStyle name="20% - Accent1 2 2" xfId="140" xr:uid="{00000000-0005-0000-0000-000002000000}"/>
    <cellStyle name="20% - Accent1 3" xfId="58" xr:uid="{00000000-0005-0000-0000-000003000000}"/>
    <cellStyle name="20% - Accent1 3 2" xfId="153" xr:uid="{00000000-0005-0000-0000-000004000000}"/>
    <cellStyle name="20% - Accent1 4" xfId="59" xr:uid="{00000000-0005-0000-0000-000005000000}"/>
    <cellStyle name="20% - Accent1 4 2" xfId="174" xr:uid="{00000000-0005-0000-0000-000006000000}"/>
    <cellStyle name="20% - Accent2" xfId="31" builtinId="34" customBuiltin="1"/>
    <cellStyle name="20% - Accent2 2" xfId="60" xr:uid="{00000000-0005-0000-0000-000008000000}"/>
    <cellStyle name="20% - Accent2 2 2" xfId="142" xr:uid="{00000000-0005-0000-0000-000009000000}"/>
    <cellStyle name="20% - Accent2 3" xfId="61" xr:uid="{00000000-0005-0000-0000-00000A000000}"/>
    <cellStyle name="20% - Accent2 3 2" xfId="155" xr:uid="{00000000-0005-0000-0000-00000B000000}"/>
    <cellStyle name="20% - Accent2 4" xfId="62" xr:uid="{00000000-0005-0000-0000-00000C000000}"/>
    <cellStyle name="20% - Accent2 4 2" xfId="176" xr:uid="{00000000-0005-0000-0000-00000D000000}"/>
    <cellStyle name="20% - Accent3" xfId="35" builtinId="38" customBuiltin="1"/>
    <cellStyle name="20% - Accent3 2" xfId="63" xr:uid="{00000000-0005-0000-0000-00000F000000}"/>
    <cellStyle name="20% - Accent3 2 2" xfId="144" xr:uid="{00000000-0005-0000-0000-000010000000}"/>
    <cellStyle name="20% - Accent3 3" xfId="64" xr:uid="{00000000-0005-0000-0000-000011000000}"/>
    <cellStyle name="20% - Accent3 3 2" xfId="157" xr:uid="{00000000-0005-0000-0000-000012000000}"/>
    <cellStyle name="20% - Accent3 4" xfId="65" xr:uid="{00000000-0005-0000-0000-000013000000}"/>
    <cellStyle name="20% - Accent3 4 2" xfId="178" xr:uid="{00000000-0005-0000-0000-000014000000}"/>
    <cellStyle name="20% - Accent4" xfId="39" builtinId="42" customBuiltin="1"/>
    <cellStyle name="20% - Accent4 2" xfId="66" xr:uid="{00000000-0005-0000-0000-000016000000}"/>
    <cellStyle name="20% - Accent4 2 2" xfId="146" xr:uid="{00000000-0005-0000-0000-000017000000}"/>
    <cellStyle name="20% - Accent4 3" xfId="67" xr:uid="{00000000-0005-0000-0000-000018000000}"/>
    <cellStyle name="20% - Accent4 3 2" xfId="159" xr:uid="{00000000-0005-0000-0000-000019000000}"/>
    <cellStyle name="20% - Accent4 4" xfId="68" xr:uid="{00000000-0005-0000-0000-00001A000000}"/>
    <cellStyle name="20% - Accent4 4 2" xfId="180" xr:uid="{00000000-0005-0000-0000-00001B000000}"/>
    <cellStyle name="20% - Accent5" xfId="43" builtinId="46" customBuiltin="1"/>
    <cellStyle name="20% - Accent5 2" xfId="69" xr:uid="{00000000-0005-0000-0000-00001D000000}"/>
    <cellStyle name="20% - Accent5 2 2" xfId="148" xr:uid="{00000000-0005-0000-0000-00001E000000}"/>
    <cellStyle name="20% - Accent5 3" xfId="70" xr:uid="{00000000-0005-0000-0000-00001F000000}"/>
    <cellStyle name="20% - Accent5 3 2" xfId="161" xr:uid="{00000000-0005-0000-0000-000020000000}"/>
    <cellStyle name="20% - Accent5 4" xfId="71" xr:uid="{00000000-0005-0000-0000-000021000000}"/>
    <cellStyle name="20% - Accent5 4 2" xfId="182" xr:uid="{00000000-0005-0000-0000-000022000000}"/>
    <cellStyle name="20% - Accent6" xfId="47" builtinId="50" customBuiltin="1"/>
    <cellStyle name="20% - Accent6 2" xfId="72" xr:uid="{00000000-0005-0000-0000-000024000000}"/>
    <cellStyle name="20% - Accent6 2 2" xfId="150" xr:uid="{00000000-0005-0000-0000-000025000000}"/>
    <cellStyle name="20% - Accent6 3" xfId="73" xr:uid="{00000000-0005-0000-0000-000026000000}"/>
    <cellStyle name="20% - Accent6 3 2" xfId="163" xr:uid="{00000000-0005-0000-0000-000027000000}"/>
    <cellStyle name="20% - Accent6 4" xfId="74" xr:uid="{00000000-0005-0000-0000-000028000000}"/>
    <cellStyle name="20% - Accent6 4 2" xfId="184" xr:uid="{00000000-0005-0000-0000-000029000000}"/>
    <cellStyle name="40% - Accent1" xfId="28" builtinId="31" customBuiltin="1"/>
    <cellStyle name="40% - Accent1 2" xfId="75" xr:uid="{00000000-0005-0000-0000-00002B000000}"/>
    <cellStyle name="40% - Accent1 2 2" xfId="141" xr:uid="{00000000-0005-0000-0000-00002C000000}"/>
    <cellStyle name="40% - Accent1 3" xfId="76" xr:uid="{00000000-0005-0000-0000-00002D000000}"/>
    <cellStyle name="40% - Accent1 3 2" xfId="154" xr:uid="{00000000-0005-0000-0000-00002E000000}"/>
    <cellStyle name="40% - Accent1 4" xfId="77" xr:uid="{00000000-0005-0000-0000-00002F000000}"/>
    <cellStyle name="40% - Accent1 4 2" xfId="175" xr:uid="{00000000-0005-0000-0000-000030000000}"/>
    <cellStyle name="40% - Accent2" xfId="32" builtinId="35" customBuiltin="1"/>
    <cellStyle name="40% - Accent2 2" xfId="78" xr:uid="{00000000-0005-0000-0000-000032000000}"/>
    <cellStyle name="40% - Accent2 2 2" xfId="143" xr:uid="{00000000-0005-0000-0000-000033000000}"/>
    <cellStyle name="40% - Accent2 3" xfId="79" xr:uid="{00000000-0005-0000-0000-000034000000}"/>
    <cellStyle name="40% - Accent2 3 2" xfId="156" xr:uid="{00000000-0005-0000-0000-000035000000}"/>
    <cellStyle name="40% - Accent2 4" xfId="80" xr:uid="{00000000-0005-0000-0000-000036000000}"/>
    <cellStyle name="40% - Accent2 4 2" xfId="177" xr:uid="{00000000-0005-0000-0000-000037000000}"/>
    <cellStyle name="40% - Accent3" xfId="36" builtinId="39" customBuiltin="1"/>
    <cellStyle name="40% - Accent3 2" xfId="81" xr:uid="{00000000-0005-0000-0000-000039000000}"/>
    <cellStyle name="40% - Accent3 2 2" xfId="145" xr:uid="{00000000-0005-0000-0000-00003A000000}"/>
    <cellStyle name="40% - Accent3 3" xfId="82" xr:uid="{00000000-0005-0000-0000-00003B000000}"/>
    <cellStyle name="40% - Accent3 3 2" xfId="158" xr:uid="{00000000-0005-0000-0000-00003C000000}"/>
    <cellStyle name="40% - Accent3 4" xfId="83" xr:uid="{00000000-0005-0000-0000-00003D000000}"/>
    <cellStyle name="40% - Accent3 4 2" xfId="179" xr:uid="{00000000-0005-0000-0000-00003E000000}"/>
    <cellStyle name="40% - Accent4" xfId="40" builtinId="43" customBuiltin="1"/>
    <cellStyle name="40% - Accent4 2" xfId="84" xr:uid="{00000000-0005-0000-0000-000040000000}"/>
    <cellStyle name="40% - Accent4 2 2" xfId="147" xr:uid="{00000000-0005-0000-0000-000041000000}"/>
    <cellStyle name="40% - Accent4 3" xfId="85" xr:uid="{00000000-0005-0000-0000-000042000000}"/>
    <cellStyle name="40% - Accent4 3 2" xfId="160" xr:uid="{00000000-0005-0000-0000-000043000000}"/>
    <cellStyle name="40% - Accent4 4" xfId="86" xr:uid="{00000000-0005-0000-0000-000044000000}"/>
    <cellStyle name="40% - Accent4 4 2" xfId="181" xr:uid="{00000000-0005-0000-0000-000045000000}"/>
    <cellStyle name="40% - Accent5" xfId="44" builtinId="47" customBuiltin="1"/>
    <cellStyle name="40% - Accent5 2" xfId="87" xr:uid="{00000000-0005-0000-0000-000047000000}"/>
    <cellStyle name="40% - Accent5 2 2" xfId="149" xr:uid="{00000000-0005-0000-0000-000048000000}"/>
    <cellStyle name="40% - Accent5 3" xfId="88" xr:uid="{00000000-0005-0000-0000-000049000000}"/>
    <cellStyle name="40% - Accent5 3 2" xfId="162" xr:uid="{00000000-0005-0000-0000-00004A000000}"/>
    <cellStyle name="40% - Accent5 4" xfId="89" xr:uid="{00000000-0005-0000-0000-00004B000000}"/>
    <cellStyle name="40% - Accent5 4 2" xfId="183" xr:uid="{00000000-0005-0000-0000-00004C000000}"/>
    <cellStyle name="40% - Accent6" xfId="48" builtinId="51" customBuiltin="1"/>
    <cellStyle name="40% - Accent6 2" xfId="90" xr:uid="{00000000-0005-0000-0000-00004E000000}"/>
    <cellStyle name="40% - Accent6 2 2" xfId="151" xr:uid="{00000000-0005-0000-0000-00004F000000}"/>
    <cellStyle name="40% - Accent6 3" xfId="91" xr:uid="{00000000-0005-0000-0000-000050000000}"/>
    <cellStyle name="40% - Accent6 3 2" xfId="164" xr:uid="{00000000-0005-0000-0000-000051000000}"/>
    <cellStyle name="40% - Accent6 4" xfId="92" xr:uid="{00000000-0005-0000-0000-000052000000}"/>
    <cellStyle name="40% - Accent6 4 2" xfId="185" xr:uid="{00000000-0005-0000-0000-000053000000}"/>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xfId="3" builtinId="3"/>
    <cellStyle name="Comma 2" xfId="8" xr:uid="{00000000-0005-0000-0000-000064000000}"/>
    <cellStyle name="Comma 2 2" xfId="152" xr:uid="{00000000-0005-0000-0000-000065000000}"/>
    <cellStyle name="Comma 2 3" xfId="93" xr:uid="{00000000-0005-0000-0000-000066000000}"/>
    <cellStyle name="Comma 3" xfId="7" xr:uid="{00000000-0005-0000-0000-000067000000}"/>
    <cellStyle name="Comma 3 2" xfId="186" xr:uid="{00000000-0005-0000-0000-000068000000}"/>
    <cellStyle name="Comma 3 3" xfId="94" xr:uid="{00000000-0005-0000-0000-000069000000}"/>
    <cellStyle name="Comma 4" xfId="95" xr:uid="{00000000-0005-0000-0000-00006A000000}"/>
    <cellStyle name="Comma 4 2" xfId="189" xr:uid="{00000000-0005-0000-0000-00006B000000}"/>
    <cellStyle name="Currency 2" xfId="6" xr:uid="{00000000-0005-0000-0000-00006C000000}"/>
    <cellStyle name="Currency 2 2" xfId="188" xr:uid="{00000000-0005-0000-0000-00006D000000}"/>
    <cellStyle name="Currency 2 3" xfId="96" xr:uid="{00000000-0005-0000-0000-00006E000000}"/>
    <cellStyle name="Currency 3" xfId="97" xr:uid="{00000000-0005-0000-0000-00006F000000}"/>
    <cellStyle name="Currency 3 2" xfId="191" xr:uid="{00000000-0005-0000-0000-000070000000}"/>
    <cellStyle name="Explanatory Text" xfId="24" builtinId="53" customBuiltin="1"/>
    <cellStyle name="FRxAmtStyle" xfId="52" xr:uid="{00000000-0005-0000-0000-000072000000}"/>
    <cellStyle name="FRxAmtStyle 2" xfId="99" xr:uid="{00000000-0005-0000-0000-000073000000}"/>
    <cellStyle name="FRxAmtStyle 3" xfId="98" xr:uid="{00000000-0005-0000-0000-000074000000}"/>
    <cellStyle name="FRxCurrStyle" xfId="53" xr:uid="{00000000-0005-0000-0000-000075000000}"/>
    <cellStyle name="FRxCurrStyle 2" xfId="100" xr:uid="{00000000-0005-0000-0000-000076000000}"/>
    <cellStyle name="FRxPcntStyle" xfId="101" xr:uid="{00000000-0005-0000-0000-000077000000}"/>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Hyperlink 2" xfId="50" xr:uid="{00000000-0005-0000-0000-00007E000000}"/>
    <cellStyle name="Hyperlink 3" xfId="51" xr:uid="{00000000-0005-0000-0000-00007F000000}"/>
    <cellStyle name="Input" xfId="17" builtinId="20" customBuiltin="1"/>
    <cellStyle name="Linked Cell" xfId="20" builtinId="24" customBuiltin="1"/>
    <cellStyle name="Neutral" xfId="16" builtinId="28" customBuiltin="1"/>
    <cellStyle name="Normal" xfId="0" builtinId="0"/>
    <cellStyle name="Normal 10" xfId="102" xr:uid="{00000000-0005-0000-0000-000084000000}"/>
    <cellStyle name="Normal 10 2" xfId="190" xr:uid="{00000000-0005-0000-0000-000085000000}"/>
    <cellStyle name="Normal 11" xfId="130" xr:uid="{00000000-0005-0000-0000-000086000000}"/>
    <cellStyle name="Normal 11 2" xfId="193" xr:uid="{00000000-0005-0000-0000-000087000000}"/>
    <cellStyle name="Normal 2" xfId="4" xr:uid="{00000000-0005-0000-0000-000088000000}"/>
    <cellStyle name="Normal 2 2" xfId="103" xr:uid="{00000000-0005-0000-0000-000089000000}"/>
    <cellStyle name="Normal 3" xfId="104" xr:uid="{00000000-0005-0000-0000-00008A000000}"/>
    <cellStyle name="Normal 3 2" xfId="105" xr:uid="{00000000-0005-0000-0000-00008B000000}"/>
    <cellStyle name="Normal 3 2 2" xfId="165" xr:uid="{00000000-0005-0000-0000-00008C000000}"/>
    <cellStyle name="Normal 3 3" xfId="131" xr:uid="{00000000-0005-0000-0000-00008D000000}"/>
    <cellStyle name="Normal 4" xfId="106" xr:uid="{00000000-0005-0000-0000-00008E000000}"/>
    <cellStyle name="Normal 4 2" xfId="107" xr:uid="{00000000-0005-0000-0000-00008F000000}"/>
    <cellStyle name="Normal 4 2 2" xfId="170" xr:uid="{00000000-0005-0000-0000-000090000000}"/>
    <cellStyle name="Normal 4 3" xfId="136" xr:uid="{00000000-0005-0000-0000-000091000000}"/>
    <cellStyle name="Normal 5" xfId="108" xr:uid="{00000000-0005-0000-0000-000092000000}"/>
    <cellStyle name="Normal 5 2" xfId="138" xr:uid="{00000000-0005-0000-0000-000093000000}"/>
    <cellStyle name="Normal 6" xfId="109" xr:uid="{00000000-0005-0000-0000-000094000000}"/>
    <cellStyle name="Normal 6 2" xfId="110" xr:uid="{00000000-0005-0000-0000-000095000000}"/>
    <cellStyle name="Normal 6 2 2" xfId="169" xr:uid="{00000000-0005-0000-0000-000096000000}"/>
    <cellStyle name="Normal 6 3" xfId="135" xr:uid="{00000000-0005-0000-0000-000097000000}"/>
    <cellStyle name="Normal 7" xfId="111" xr:uid="{00000000-0005-0000-0000-000098000000}"/>
    <cellStyle name="Normal 7 2" xfId="172" xr:uid="{00000000-0005-0000-0000-000099000000}"/>
    <cellStyle name="Normal 8" xfId="112" xr:uid="{00000000-0005-0000-0000-00009A000000}"/>
    <cellStyle name="Normal 8 2" xfId="187" xr:uid="{00000000-0005-0000-0000-00009B000000}"/>
    <cellStyle name="Normal 9" xfId="113" xr:uid="{00000000-0005-0000-0000-00009C000000}"/>
    <cellStyle name="Note" xfId="23" builtinId="10" customBuiltin="1"/>
    <cellStyle name="Note 2" xfId="114" xr:uid="{00000000-0005-0000-0000-00009E000000}"/>
    <cellStyle name="Note 2 2" xfId="115" xr:uid="{00000000-0005-0000-0000-00009F000000}"/>
    <cellStyle name="Note 2 2 2" xfId="168" xr:uid="{00000000-0005-0000-0000-0000A0000000}"/>
    <cellStyle name="Note 2 3" xfId="134" xr:uid="{00000000-0005-0000-0000-0000A1000000}"/>
    <cellStyle name="Note 3" xfId="116" xr:uid="{00000000-0005-0000-0000-0000A2000000}"/>
    <cellStyle name="Note 3 2" xfId="117" xr:uid="{00000000-0005-0000-0000-0000A3000000}"/>
    <cellStyle name="Note 3 2 2" xfId="171" xr:uid="{00000000-0005-0000-0000-0000A4000000}"/>
    <cellStyle name="Note 3 3" xfId="137" xr:uid="{00000000-0005-0000-0000-0000A5000000}"/>
    <cellStyle name="Note 4" xfId="118" xr:uid="{00000000-0005-0000-0000-0000A6000000}"/>
    <cellStyle name="Note 4 2" xfId="119" xr:uid="{00000000-0005-0000-0000-0000A7000000}"/>
    <cellStyle name="Note 4 2 2" xfId="166" xr:uid="{00000000-0005-0000-0000-0000A8000000}"/>
    <cellStyle name="Note 4 3" xfId="132" xr:uid="{00000000-0005-0000-0000-0000A9000000}"/>
    <cellStyle name="Note 5" xfId="120" xr:uid="{00000000-0005-0000-0000-0000AA000000}"/>
    <cellStyle name="Note 5 2" xfId="121" xr:uid="{00000000-0005-0000-0000-0000AB000000}"/>
    <cellStyle name="Note 5 2 2" xfId="167" xr:uid="{00000000-0005-0000-0000-0000AC000000}"/>
    <cellStyle name="Note 5 3" xfId="133" xr:uid="{00000000-0005-0000-0000-0000AD000000}"/>
    <cellStyle name="Note 6" xfId="122" xr:uid="{00000000-0005-0000-0000-0000AE000000}"/>
    <cellStyle name="Note 6 2" xfId="139" xr:uid="{00000000-0005-0000-0000-0000AF000000}"/>
    <cellStyle name="Note 7" xfId="123" xr:uid="{00000000-0005-0000-0000-0000B0000000}"/>
    <cellStyle name="Note 7 2" xfId="173" xr:uid="{00000000-0005-0000-0000-0000B1000000}"/>
    <cellStyle name="Output" xfId="18" builtinId="21" customBuiltin="1"/>
    <cellStyle name="Percent" xfId="1" builtinId="5"/>
    <cellStyle name="Percent 2" xfId="5" xr:uid="{00000000-0005-0000-0000-0000B4000000}"/>
    <cellStyle name="Percent 2 2" xfId="192" xr:uid="{00000000-0005-0000-0000-0000B5000000}"/>
    <cellStyle name="Percent 2 3" xfId="124" xr:uid="{00000000-0005-0000-0000-0000B6000000}"/>
    <cellStyle name="STYLE1" xfId="54" xr:uid="{00000000-0005-0000-0000-0000B7000000}"/>
    <cellStyle name="STYLE1 2" xfId="125" xr:uid="{00000000-0005-0000-0000-0000B8000000}"/>
    <cellStyle name="STYLE2" xfId="55" xr:uid="{00000000-0005-0000-0000-0000B9000000}"/>
    <cellStyle name="STYLE2 2" xfId="126" xr:uid="{00000000-0005-0000-0000-0000BA000000}"/>
    <cellStyle name="STYLE3" xfId="56" xr:uid="{00000000-0005-0000-0000-0000BB000000}"/>
    <cellStyle name="STYLE3 2" xfId="127" xr:uid="{00000000-0005-0000-0000-0000BC000000}"/>
    <cellStyle name="STYLE4" xfId="128" xr:uid="{00000000-0005-0000-0000-0000BD000000}"/>
    <cellStyle name="STYLE5" xfId="129" xr:uid="{00000000-0005-0000-0000-0000BE000000}"/>
    <cellStyle name="Title" xfId="9" builtinId="15" customBuiltin="1"/>
    <cellStyle name="Total" xfId="25" builtinId="25" customBuiltin="1"/>
    <cellStyle name="Warning Text" xfId="22" builtinId="11" customBuiltin="1"/>
  </cellStyles>
  <dxfs count="5">
    <dxf>
      <fill>
        <patternFill>
          <bgColor indexed="44"/>
        </patternFill>
      </fill>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D9D9D9"/>
        </patternFill>
      </fill>
      <alignment horizontal="left" vertical="top" textRotation="0" wrapText="0" indent="0" justifyLastLine="0" shrinkToFit="0" readingOrder="0"/>
    </dxf>
    <dxf>
      <font>
        <strike val="0"/>
        <outline val="0"/>
        <shadow val="0"/>
        <u val="none"/>
        <vertAlign val="baseline"/>
        <sz val="14"/>
        <color theme="0"/>
        <name val="Century Gothic"/>
        <family val="2"/>
        <scheme val="none"/>
      </font>
      <fill>
        <patternFill patternType="solid">
          <fgColor indexed="64"/>
          <bgColor rgb="FFC00000"/>
        </patternFill>
      </fill>
    </dxf>
  </dxfs>
  <tableStyles count="0" defaultTableStyle="TableStyleMedium9"/>
  <colors>
    <mruColors>
      <color rgb="FF006600"/>
      <color rgb="FFC6C646"/>
      <color rgb="FFCCCC46"/>
      <color rgb="FFCCCC19"/>
      <color rgb="FF66FF99"/>
      <color rgb="FF161B0B"/>
      <color rgb="FFCCFF99"/>
      <color rgb="FF77943B"/>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'Report-All Sources'!$A$1</c:f>
          <c:strCache>
            <c:ptCount val="1"/>
            <c:pt idx="0">
              <c:v>2020 GHG Emissions for Low Carbon Brewing Company - All Sources</c:v>
            </c:pt>
          </c:strCache>
        </c:strRef>
      </c:tx>
      <c:layout>
        <c:manualLayout>
          <c:xMode val="edge"/>
          <c:yMode val="edge"/>
          <c:x val="0.23585745641280489"/>
          <c:y val="2.3008884483280631E-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30"/>
      <c:rotY val="1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118604258586655"/>
          <c:y val="2.9548846316955528E-2"/>
          <c:w val="0.52107253683476495"/>
          <c:h val="0.68368106030505305"/>
        </c:manualLayout>
      </c:layout>
      <c:pie3DChart>
        <c:varyColors val="1"/>
        <c:ser>
          <c:idx val="0"/>
          <c:order val="0"/>
          <c:dPt>
            <c:idx val="0"/>
            <c:bubble3D val="0"/>
            <c:spPr>
              <a:solidFill>
                <a:srgbClr val="00206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A75C-4903-AE5B-3EE25B7C2A66}"/>
              </c:ext>
            </c:extLst>
          </c:dPt>
          <c:dPt>
            <c:idx val="1"/>
            <c:bubble3D val="0"/>
            <c:spPr>
              <a:solidFill>
                <a:srgbClr val="00B0F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A75C-4903-AE5B-3EE25B7C2A66}"/>
              </c:ext>
            </c:extLst>
          </c:dPt>
          <c:dPt>
            <c:idx val="2"/>
            <c:bubble3D val="0"/>
            <c:spPr>
              <a:solidFill>
                <a:srgbClr val="00FFFF"/>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A75C-4903-AE5B-3EE25B7C2A66}"/>
              </c:ext>
            </c:extLst>
          </c:dPt>
          <c:dPt>
            <c:idx val="3"/>
            <c:bubble3D val="0"/>
            <c:spPr>
              <a:solidFill>
                <a:srgbClr val="0070C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A75C-4903-AE5B-3EE25B7C2A66}"/>
              </c:ext>
            </c:extLst>
          </c:dPt>
          <c:dPt>
            <c:idx val="4"/>
            <c:bubble3D val="0"/>
            <c:spPr>
              <a:solidFill>
                <a:srgbClr val="BD464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A75C-4903-AE5B-3EE25B7C2A66}"/>
              </c:ext>
            </c:extLst>
          </c:dPt>
          <c:dPt>
            <c:idx val="5"/>
            <c:bubble3D val="0"/>
            <c:spPr>
              <a:solidFill>
                <a:srgbClr val="0033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A75C-4903-AE5B-3EE25B7C2A66}"/>
              </c:ext>
            </c:extLst>
          </c:dPt>
          <c:dPt>
            <c:idx val="6"/>
            <c:bubble3D val="0"/>
            <c:spPr>
              <a:solidFill>
                <a:srgbClr val="00B05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A75C-4903-AE5B-3EE25B7C2A66}"/>
              </c:ext>
            </c:extLst>
          </c:dPt>
          <c:dPt>
            <c:idx val="7"/>
            <c:bubble3D val="0"/>
            <c:spPr>
              <a:solidFill>
                <a:srgbClr val="0066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A75C-4903-AE5B-3EE25B7C2A66}"/>
              </c:ext>
            </c:extLst>
          </c:dPt>
          <c:dPt>
            <c:idx val="8"/>
            <c:bubble3D val="0"/>
            <c:spPr>
              <a:solidFill>
                <a:srgbClr val="C6C646"/>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A75C-4903-AE5B-3EE25B7C2A66}"/>
              </c:ext>
            </c:extLst>
          </c:dPt>
          <c:dPt>
            <c:idx val="9"/>
            <c:bubble3D val="0"/>
            <c:spPr>
              <a:solidFill>
                <a:srgbClr val="CC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A75C-4903-AE5B-3EE25B7C2A66}"/>
              </c:ext>
            </c:extLst>
          </c:dPt>
          <c:dPt>
            <c:idx val="10"/>
            <c:bubble3D val="0"/>
            <c:spPr>
              <a:solidFill>
                <a:srgbClr val="92D05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A75C-4903-AE5B-3EE25B7C2A66}"/>
              </c:ext>
            </c:extLst>
          </c:dPt>
          <c:dPt>
            <c:idx val="11"/>
            <c:bubble3D val="0"/>
            <c:spPr>
              <a:solidFill>
                <a:srgbClr val="66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A75C-4903-AE5B-3EE25B7C2A66}"/>
              </c:ext>
            </c:extLst>
          </c:dPt>
          <c:dPt>
            <c:idx val="12"/>
            <c:bubble3D val="0"/>
            <c:spPr>
              <a:solidFill>
                <a:srgbClr val="161B0B"/>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A75C-4903-AE5B-3EE25B7C2A66}"/>
              </c:ext>
            </c:extLst>
          </c:dPt>
          <c:dPt>
            <c:idx val="13"/>
            <c:bubble3D val="0"/>
            <c:spPr>
              <a:solidFill>
                <a:srgbClr val="66663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A75C-4903-AE5B-3EE25B7C2A66}"/>
              </c:ext>
            </c:extLst>
          </c:dPt>
          <c:dPt>
            <c:idx val="14"/>
            <c:bubble3D val="0"/>
            <c:spPr>
              <a:solidFill>
                <a:srgbClr val="CC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E-A75C-4903-AE5B-3EE25B7C2A66}"/>
              </c:ext>
            </c:extLst>
          </c:dPt>
          <c:dPt>
            <c:idx val="15"/>
            <c:bubble3D val="0"/>
            <c:spPr>
              <a:solidFill>
                <a:srgbClr val="0033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A75C-4903-AE5B-3EE25B7C2A66}"/>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E-FDA5-4301-9A44-26BA31CBEC9C}"/>
              </c:ext>
            </c:extLst>
          </c:dPt>
          <c:dLbls>
            <c:dLbl>
              <c:idx val="0"/>
              <c:layout>
                <c:manualLayout>
                  <c:x val="0.18466174300880989"/>
                  <c:y val="0.1176968616954927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5C-4903-AE5B-3EE25B7C2A66}"/>
                </c:ext>
              </c:extLst>
            </c:dLbl>
            <c:dLbl>
              <c:idx val="1"/>
              <c:layout>
                <c:manualLayout>
                  <c:x val="0.23896018912274766"/>
                  <c:y val="0.1250803365738752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5C-4903-AE5B-3EE25B7C2A66}"/>
                </c:ext>
              </c:extLst>
            </c:dLbl>
            <c:dLbl>
              <c:idx val="2"/>
              <c:layout>
                <c:manualLayout>
                  <c:x val="0.13426946698459885"/>
                  <c:y val="0.1655796202784348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5C-4903-AE5B-3EE25B7C2A66}"/>
                </c:ext>
              </c:extLst>
            </c:dLbl>
            <c:dLbl>
              <c:idx val="3"/>
              <c:layout>
                <c:manualLayout>
                  <c:x val="-3.3200262847888011E-2"/>
                  <c:y val="0.1192936546277755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5C-4903-AE5B-3EE25B7C2A66}"/>
                </c:ext>
              </c:extLst>
            </c:dLbl>
            <c:dLbl>
              <c:idx val="4"/>
              <c:layout>
                <c:manualLayout>
                  <c:x val="-0.16770922676917135"/>
                  <c:y val="0.1030614176168058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5C-4903-AE5B-3EE25B7C2A66}"/>
                </c:ext>
              </c:extLst>
            </c:dLbl>
            <c:dLbl>
              <c:idx val="5"/>
              <c:layout>
                <c:manualLayout>
                  <c:x val="-3.8194771881662565E-2"/>
                  <c:y val="4.171121007405512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5C-4903-AE5B-3EE25B7C2A66}"/>
                </c:ext>
              </c:extLst>
            </c:dLbl>
            <c:dLbl>
              <c:idx val="6"/>
              <c:layout>
                <c:manualLayout>
                  <c:x val="-5.9200025346759118E-2"/>
                  <c:y val="-6.2907534367921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5C-4903-AE5B-3EE25B7C2A66}"/>
                </c:ext>
              </c:extLst>
            </c:dLbl>
            <c:dLbl>
              <c:idx val="7"/>
              <c:layout>
                <c:manualLayout>
                  <c:x val="-9.354139130755848E-2"/>
                  <c:y val="-6.673877153243437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5C-4903-AE5B-3EE25B7C2A66}"/>
                </c:ext>
              </c:extLst>
            </c:dLbl>
            <c:dLbl>
              <c:idx val="8"/>
              <c:layout>
                <c:manualLayout>
                  <c:x val="-3.0074328872209746E-4"/>
                  <c:y val="-8.84235249110356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5C-4903-AE5B-3EE25B7C2A66}"/>
                </c:ext>
              </c:extLst>
            </c:dLbl>
            <c:dLbl>
              <c:idx val="9"/>
              <c:layout>
                <c:manualLayout>
                  <c:x val="0.1425071637026426"/>
                  <c:y val="-0.173014948436234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5C-4903-AE5B-3EE25B7C2A66}"/>
                </c:ext>
              </c:extLst>
            </c:dLbl>
            <c:dLbl>
              <c:idx val="10"/>
              <c:layout>
                <c:manualLayout>
                  <c:x val="0.1448627158653249"/>
                  <c:y val="-0.202256309031717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5C-4903-AE5B-3EE25B7C2A66}"/>
                </c:ext>
              </c:extLst>
            </c:dLbl>
            <c:dLbl>
              <c:idx val="11"/>
              <c:layout>
                <c:manualLayout>
                  <c:x val="0.16112967212370416"/>
                  <c:y val="-0.185283290309515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75C-4903-AE5B-3EE25B7C2A66}"/>
                </c:ext>
              </c:extLst>
            </c:dLbl>
            <c:dLbl>
              <c:idx val="12"/>
              <c:layout>
                <c:manualLayout>
                  <c:x val="0.16236956772299785"/>
                  <c:y val="-0.142438221858865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75C-4903-AE5B-3EE25B7C2A66}"/>
                </c:ext>
              </c:extLst>
            </c:dLbl>
            <c:dLbl>
              <c:idx val="13"/>
              <c:layout>
                <c:manualLayout>
                  <c:x val="0.15578527303399209"/>
                  <c:y val="-9.3123592579565317E-2"/>
                </c:manualLayout>
              </c:layout>
              <c:tx>
                <c:rich>
                  <a:bodyPr/>
                  <a:lstStyle/>
                  <a:p>
                    <a:fld id="{F7846472-46E6-40E2-B79F-FECA0A27F2AF}" type="CATEGORYNAME">
                      <a:rPr lang="en-US">
                        <a:solidFill>
                          <a:srgbClr val="006600"/>
                        </a:solidFill>
                      </a:rPr>
                      <a:pPr/>
                      <a:t>[CATEGORY NAME]</a:t>
                    </a:fld>
                    <a:r>
                      <a:rPr lang="en-US">
                        <a:solidFill>
                          <a:srgbClr val="006600"/>
                        </a:solidFill>
                      </a:rPr>
                      <a:t>, </a:t>
                    </a:r>
                    <a:fld id="{CBEF7EFD-3A6B-4B7C-85CE-ACE13097B5A7}" type="VALUE">
                      <a:rPr lang="en-US">
                        <a:solidFill>
                          <a:srgbClr val="006600"/>
                        </a:solidFill>
                      </a:rPr>
                      <a:pPr/>
                      <a:t>[VALUE]</a:t>
                    </a:fld>
                    <a:endParaRPr lang="en-US">
                      <a:solidFill>
                        <a:srgbClr val="006600"/>
                      </a:solidFill>
                    </a:endParaRP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A75C-4903-AE5B-3EE25B7C2A66}"/>
                </c:ext>
              </c:extLst>
            </c:dLbl>
            <c:dLbl>
              <c:idx val="14"/>
              <c:layout>
                <c:manualLayout>
                  <c:x val="0.15662226493250928"/>
                  <c:y val="-3.21144643858713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75C-4903-AE5B-3EE25B7C2A66}"/>
                </c:ext>
              </c:extLst>
            </c:dLbl>
            <c:dLbl>
              <c:idx val="15"/>
              <c:layout>
                <c:manualLayout>
                  <c:x val="0.15679053647812757"/>
                  <c:y val="2.809828385810292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75C-4903-AE5B-3EE25B7C2A66}"/>
                </c:ext>
              </c:extLst>
            </c:dLbl>
            <c:dLbl>
              <c:idx val="16"/>
              <c:layout>
                <c:manualLayout>
                  <c:x val="0.15793051694914831"/>
                  <c:y val="9.278251323050827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DA5-4301-9A44-26BA31CBEC9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6600"/>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'Report-All Sources'!$B$3:$B$19</c:f>
              <c:strCache>
                <c:ptCount val="17"/>
                <c:pt idx="0">
                  <c:v>Natural gas</c:v>
                </c:pt>
                <c:pt idx="1">
                  <c:v>Fugitive</c:v>
                </c:pt>
                <c:pt idx="2">
                  <c:v>Vehicle fleet</c:v>
                </c:pt>
                <c:pt idx="3">
                  <c:v>Flaring</c:v>
                </c:pt>
                <c:pt idx="4">
                  <c:v>Purchased electricity</c:v>
                </c:pt>
                <c:pt idx="5">
                  <c:v>Glass</c:v>
                </c:pt>
                <c:pt idx="6">
                  <c:v>Barley</c:v>
                </c:pt>
                <c:pt idx="7">
                  <c:v>Distribution</c:v>
                </c:pt>
                <c:pt idx="8">
                  <c:v>Aluminum</c:v>
                </c:pt>
                <c:pt idx="9">
                  <c:v>Retail</c:v>
                </c:pt>
                <c:pt idx="10">
                  <c:v>Malt</c:v>
                </c:pt>
                <c:pt idx="11">
                  <c:v>Fiber packaging</c:v>
                </c:pt>
                <c:pt idx="12">
                  <c:v>Use</c:v>
                </c:pt>
                <c:pt idx="13">
                  <c:v>Carbon dioxide purchases</c:v>
                </c:pt>
                <c:pt idx="14">
                  <c:v>Corporate flights</c:v>
                </c:pt>
                <c:pt idx="15">
                  <c:v>Manufacturing waste disposal</c:v>
                </c:pt>
                <c:pt idx="16">
                  <c:v>Water</c:v>
                </c:pt>
              </c:strCache>
            </c:strRef>
          </c:cat>
          <c:val>
            <c:numRef>
              <c:f>'Report-All Sources'!$C$3:$C$19</c:f>
              <c:numCache>
                <c:formatCode>0%</c:formatCode>
                <c:ptCount val="17"/>
                <c:pt idx="0">
                  <c:v>6.6723953893956953E-2</c:v>
                </c:pt>
                <c:pt idx="1">
                  <c:v>2.7919837458782334E-2</c:v>
                </c:pt>
                <c:pt idx="2" formatCode="0.0%">
                  <c:v>1.8749484551013513E-3</c:v>
                </c:pt>
                <c:pt idx="3" formatCode="0.0%">
                  <c:v>6.2779028698234148E-3</c:v>
                </c:pt>
                <c:pt idx="4">
                  <c:v>7.378435046047277E-2</c:v>
                </c:pt>
                <c:pt idx="5">
                  <c:v>0.17638521858560802</c:v>
                </c:pt>
                <c:pt idx="6">
                  <c:v>0.18484332962130676</c:v>
                </c:pt>
                <c:pt idx="7">
                  <c:v>0.10822724343294152</c:v>
                </c:pt>
                <c:pt idx="8">
                  <c:v>0.16350521713858371</c:v>
                </c:pt>
                <c:pt idx="9">
                  <c:v>8.4904906503574268E-2</c:v>
                </c:pt>
                <c:pt idx="10">
                  <c:v>6.7937602089152477E-2</c:v>
                </c:pt>
                <c:pt idx="11">
                  <c:v>1.9650635454398154E-2</c:v>
                </c:pt>
                <c:pt idx="12">
                  <c:v>1.2719687940406186E-2</c:v>
                </c:pt>
                <c:pt idx="13" formatCode="0.0%">
                  <c:v>2.7011063242473135E-3</c:v>
                </c:pt>
                <c:pt idx="14" formatCode="0.0%">
                  <c:v>7.5498395540090518E-4</c:v>
                </c:pt>
                <c:pt idx="15" formatCode="0.0%">
                  <c:v>1.744362315386113E-3</c:v>
                </c:pt>
                <c:pt idx="16" formatCode="0.00%">
                  <c:v>4.4713500857729426E-5</c:v>
                </c:pt>
              </c:numCache>
            </c:numRef>
          </c:val>
          <c:extLst>
            <c:ext xmlns:c16="http://schemas.microsoft.com/office/drawing/2014/chart" uri="{C3380CC4-5D6E-409C-BE32-E72D297353CC}">
              <c16:uniqueId val="{0000001F-A75C-4903-AE5B-3EE25B7C2A66}"/>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38100" cap="flat" cmpd="sng" algn="ctr">
      <a:solidFill>
        <a:schemeClr val="accent1">
          <a:lumMod val="60000"/>
          <a:lumOff val="40000"/>
        </a:schemeClr>
      </a:solidFill>
      <a:round/>
    </a:ln>
    <a:effectLst/>
  </c:spPr>
  <c:txPr>
    <a:bodyPr/>
    <a:lstStyle/>
    <a:p>
      <a:pPr>
        <a:defRPr/>
      </a:pPr>
      <a:endParaRPr lang="en-US"/>
    </a:p>
  </c:txPr>
  <c:printSettings>
    <c:headerFooter/>
    <c:pageMargins b="0.7500000000000101" l="0.70000000000000107" r="0.70000000000000107" t="0.7500000000000101" header="0.30000000000000004" footer="0.30000000000000004"/>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'Report-Brewery'!$A$1</c:f>
          <c:strCache>
            <c:ptCount val="1"/>
            <c:pt idx="0">
              <c:v>2020 Low Carbon Brewing Company GHG Emissions - Brewery Sources</c:v>
            </c:pt>
          </c:strCache>
        </c:strRef>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30"/>
      <c:rotY val="13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243391372453809"/>
          <c:y val="4.0910469903554132E-2"/>
          <c:w val="0.52107253683476495"/>
          <c:h val="0.68368106030505305"/>
        </c:manualLayout>
      </c:layout>
      <c:pie3DChart>
        <c:varyColors val="1"/>
        <c:ser>
          <c:idx val="0"/>
          <c:order val="0"/>
          <c:dPt>
            <c:idx val="0"/>
            <c:bubble3D val="0"/>
            <c:spPr>
              <a:solidFill>
                <a:srgbClr val="C35855"/>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C10F-4BC3-A12A-298D61ADE6FD}"/>
              </c:ext>
            </c:extLst>
          </c:dPt>
          <c:dPt>
            <c:idx val="1"/>
            <c:bubble3D val="0"/>
            <c:spPr>
              <a:solidFill>
                <a:srgbClr val="00206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C10F-4BC3-A12A-298D61ADE6FD}"/>
              </c:ext>
            </c:extLst>
          </c:dPt>
          <c:dPt>
            <c:idx val="2"/>
            <c:bubble3D val="0"/>
            <c:spPr>
              <a:solidFill>
                <a:srgbClr val="00B0F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C10F-4BC3-A12A-298D61ADE6FD}"/>
              </c:ext>
            </c:extLst>
          </c:dPt>
          <c:dPt>
            <c:idx val="3"/>
            <c:bubble3D val="0"/>
            <c:spPr>
              <a:solidFill>
                <a:srgbClr val="00FFFF"/>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C10F-4BC3-A12A-298D61ADE6FD}"/>
              </c:ext>
            </c:extLst>
          </c:dPt>
          <c:dPt>
            <c:idx val="4"/>
            <c:bubble3D val="0"/>
            <c:spPr>
              <a:solidFill>
                <a:srgbClr val="CC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C10F-4BC3-A12A-298D61ADE6FD}"/>
              </c:ext>
            </c:extLst>
          </c:dPt>
          <c:dPt>
            <c:idx val="5"/>
            <c:bubble3D val="0"/>
            <c:spPr>
              <a:solidFill>
                <a:srgbClr val="0033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C10F-4BC3-A12A-298D61ADE6FD}"/>
              </c:ext>
            </c:extLst>
          </c:dPt>
          <c:dPt>
            <c:idx val="6"/>
            <c:bubble3D val="0"/>
            <c:spPr>
              <a:solidFill>
                <a:srgbClr val="0070C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C10F-4BC3-A12A-298D61ADE6FD}"/>
              </c:ext>
            </c:extLst>
          </c:dPt>
          <c:dLbls>
            <c:dLbl>
              <c:idx val="0"/>
              <c:layout>
                <c:manualLayout>
                  <c:x val="3.8629553845417587E-2"/>
                  <c:y val="6.380961154808950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0F-4BC3-A12A-298D61ADE6FD}"/>
                </c:ext>
              </c:extLst>
            </c:dLbl>
            <c:dLbl>
              <c:idx val="1"/>
              <c:layout>
                <c:manualLayout>
                  <c:x val="-2.97639196424507E-2"/>
                  <c:y val="-5.353761896895688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0F-4BC3-A12A-298D61ADE6FD}"/>
                </c:ext>
              </c:extLst>
            </c:dLbl>
            <c:dLbl>
              <c:idx val="2"/>
              <c:layout>
                <c:manualLayout>
                  <c:x val="0.12246767033841809"/>
                  <c:y val="-0.15026005597417944"/>
                </c:manualLayout>
              </c:layout>
              <c:tx>
                <c:rich>
                  <a:bodyPr rot="0" spcFirstLastPara="1" vertOverflow="ellipsis" vert="horz" wrap="square" lIns="38100" tIns="19050" rIns="38100" bIns="19050" anchor="ctr" anchorCtr="1">
                    <a:spAutoFit/>
                  </a:bodyPr>
                  <a:lstStyle/>
                  <a:p>
                    <a:pPr>
                      <a:defRPr lang="en-US" sz="1000" b="1" i="0" u="none" strike="noStrike" kern="1200" baseline="0">
                        <a:solidFill>
                          <a:srgbClr val="0070C0"/>
                        </a:solidFill>
                        <a:latin typeface="+mn-lt"/>
                        <a:ea typeface="+mn-ea"/>
                        <a:cs typeface="+mn-cs"/>
                      </a:defRPr>
                    </a:pPr>
                    <a:fld id="{D0343B20-6693-435B-AD55-128E266CCFF5}" type="CATEGORYNAME">
                      <a:rPr lang="en-US" sz="1000" b="1" i="0" u="none" strike="noStrike" kern="1200" baseline="0">
                        <a:solidFill>
                          <a:srgbClr val="0070C0"/>
                        </a:solidFill>
                        <a:latin typeface="+mn-lt"/>
                        <a:ea typeface="+mn-ea"/>
                        <a:cs typeface="+mn-cs"/>
                      </a:rPr>
                      <a:pPr>
                        <a:defRPr lang="en-US" sz="1000" b="1">
                          <a:solidFill>
                            <a:srgbClr val="0070C0"/>
                          </a:solidFill>
                        </a:defRPr>
                      </a:pPr>
                      <a:t>[CATEGORY NAME]</a:t>
                    </a:fld>
                    <a:r>
                      <a:rPr lang="en-US" sz="1000" b="1" i="0" u="none" strike="noStrike" kern="1200" baseline="0">
                        <a:solidFill>
                          <a:srgbClr val="0070C0"/>
                        </a:solidFill>
                        <a:latin typeface="+mn-lt"/>
                        <a:ea typeface="+mn-ea"/>
                        <a:cs typeface="+mn-cs"/>
                      </a:rPr>
                      <a:t>, </a:t>
                    </a:r>
                    <a:fld id="{ADF9BC26-36F2-4FAE-B51B-15042338A87B}" type="VALUE">
                      <a:rPr lang="en-US" sz="1000" b="1" i="0" u="none" strike="noStrike" kern="1200" baseline="0">
                        <a:solidFill>
                          <a:srgbClr val="0070C0"/>
                        </a:solidFill>
                        <a:latin typeface="+mn-lt"/>
                        <a:ea typeface="+mn-ea"/>
                        <a:cs typeface="+mn-cs"/>
                      </a:rPr>
                      <a:pPr>
                        <a:defRPr lang="en-US" sz="1000" b="1">
                          <a:solidFill>
                            <a:srgbClr val="0070C0"/>
                          </a:solidFill>
                        </a:defRPr>
                      </a:pPr>
                      <a:t>[VALUE]</a:t>
                    </a:fld>
                    <a:endParaRPr lang="en-US" sz="1000" b="1" i="0" u="none" strike="noStrike" kern="1200" baseline="0">
                      <a:solidFill>
                        <a:srgbClr val="0070C0"/>
                      </a:solidFill>
                      <a:latin typeface="+mn-lt"/>
                      <a:ea typeface="+mn-ea"/>
                      <a:cs typeface="+mn-cs"/>
                    </a:endParaRPr>
                  </a:p>
                </c:rich>
              </c:tx>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solidFill>
                        <a:srgbClr val="0070C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10F-4BC3-A12A-298D61ADE6FD}"/>
                </c:ext>
              </c:extLst>
            </c:dLbl>
            <c:dLbl>
              <c:idx val="3"/>
              <c:layout>
                <c:manualLayout>
                  <c:x val="0.13779967457316911"/>
                  <c:y val="-0.125566849752849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0F-4BC3-A12A-298D61ADE6FD}"/>
                </c:ext>
              </c:extLst>
            </c:dLbl>
            <c:dLbl>
              <c:idx val="4"/>
              <c:layout>
                <c:manualLayout>
                  <c:x val="0.13928761522129141"/>
                  <c:y val="-5.7583198851290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66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0F-4BC3-A12A-298D61ADE6FD}"/>
                </c:ext>
              </c:extLst>
            </c:dLbl>
            <c:dLbl>
              <c:idx val="5"/>
              <c:layout>
                <c:manualLayout>
                  <c:x val="0.1399630101281514"/>
                  <c:y val="1.6744007077779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66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0F-4BC3-A12A-298D61ADE6FD}"/>
                </c:ext>
              </c:extLst>
            </c:dLbl>
            <c:dLbl>
              <c:idx val="6"/>
              <c:layout>
                <c:manualLayout>
                  <c:x val="0.15975154105012015"/>
                  <c:y val="8.909746400752252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70C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0F-4BC3-A12A-298D61ADE6F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2"/>
                    </a:solidFill>
                    <a:latin typeface="+mn-lt"/>
                    <a:ea typeface="+mn-ea"/>
                    <a:cs typeface="+mn-cs"/>
                  </a:defRPr>
                </a:pPr>
                <a:endParaRPr lang="en-US"/>
              </a:p>
            </c:txPr>
            <c:dLblPos val="ct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'Report-Brewery'!$A$3:$A$9</c:f>
              <c:strCache>
                <c:ptCount val="7"/>
                <c:pt idx="0">
                  <c:v>Purchased Electricity</c:v>
                </c:pt>
                <c:pt idx="1">
                  <c:v>Natural Gas</c:v>
                </c:pt>
                <c:pt idx="2">
                  <c:v>Fugitive</c:v>
                </c:pt>
                <c:pt idx="3">
                  <c:v>Vehicle Fleet</c:v>
                </c:pt>
                <c:pt idx="4">
                  <c:v>Corporate Flights</c:v>
                </c:pt>
                <c:pt idx="5">
                  <c:v>Manufacturing waste disposal</c:v>
                </c:pt>
                <c:pt idx="6">
                  <c:v>Flaring</c:v>
                </c:pt>
              </c:strCache>
            </c:strRef>
          </c:cat>
          <c:val>
            <c:numRef>
              <c:f>'Report-Brewery'!$B$3:$B$9</c:f>
              <c:numCache>
                <c:formatCode>0%</c:formatCode>
                <c:ptCount val="7"/>
                <c:pt idx="0">
                  <c:v>0.41201815176365458</c:v>
                </c:pt>
                <c:pt idx="1">
                  <c:v>0.37259229077958728</c:v>
                </c:pt>
                <c:pt idx="2">
                  <c:v>0.15590677095506467</c:v>
                </c:pt>
                <c:pt idx="3">
                  <c:v>1.0469873249569682E-2</c:v>
                </c:pt>
                <c:pt idx="4" formatCode="0.0%">
                  <c:v>4.2158952674136102E-3</c:v>
                </c:pt>
                <c:pt idx="5">
                  <c:v>9.7406690267820006E-3</c:v>
                </c:pt>
                <c:pt idx="6">
                  <c:v>3.505634895792796E-2</c:v>
                </c:pt>
              </c:numCache>
            </c:numRef>
          </c:val>
          <c:extLst>
            <c:ext xmlns:c16="http://schemas.microsoft.com/office/drawing/2014/chart" uri="{C3380CC4-5D6E-409C-BE32-E72D297353CC}">
              <c16:uniqueId val="{0000000E-C10F-4BC3-A12A-298D61ADE6FD}"/>
            </c:ext>
          </c:extLst>
        </c:ser>
        <c:dLbls>
          <c:dLblPos val="ctr"/>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chemeClr val="accent1">
          <a:lumMod val="60000"/>
          <a:lumOff val="40000"/>
        </a:schemeClr>
      </a:solidFill>
      <a:round/>
    </a:ln>
    <a:effectLst/>
  </c:spPr>
  <c:txPr>
    <a:bodyPr/>
    <a:lstStyle/>
    <a:p>
      <a:pPr>
        <a:defRPr/>
      </a:pPr>
      <a:endParaRPr lang="en-US"/>
    </a:p>
  </c:txPr>
  <c:printSettings>
    <c:headerFooter/>
    <c:pageMargins b="0.7500000000000101" l="0.70000000000000107" r="0.70000000000000107" t="0.7500000000000101" header="0.30000000000000004" footer="0.30000000000000004"/>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'Report-Upstream'!$A$1</c:f>
          <c:strCache>
            <c:ptCount val="1"/>
            <c:pt idx="0">
              <c:v>2020 Low Carbon Brewing Company GHG Emissions - Upstream Sources</c:v>
            </c:pt>
          </c:strCache>
        </c:strRef>
      </c:tx>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30"/>
      <c:rotY val="13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946938523004939"/>
          <c:y val="3.0640461226360733E-2"/>
          <c:w val="0.52107253683476495"/>
          <c:h val="0.68368106030505305"/>
        </c:manualLayout>
      </c:layout>
      <c:pie3DChart>
        <c:varyColors val="1"/>
        <c:ser>
          <c:idx val="0"/>
          <c:order val="0"/>
          <c:dPt>
            <c:idx val="0"/>
            <c:bubble3D val="0"/>
            <c:spPr>
              <a:solidFill>
                <a:srgbClr val="0033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A55A-524A-ACAB-2EBE7687C9A5}"/>
              </c:ext>
            </c:extLst>
          </c:dPt>
          <c:dPt>
            <c:idx val="1"/>
            <c:bubble3D val="0"/>
            <c:spPr>
              <a:solidFill>
                <a:srgbClr val="00B05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A55A-524A-ACAB-2EBE7687C9A5}"/>
              </c:ext>
            </c:extLst>
          </c:dPt>
          <c:dPt>
            <c:idx val="2"/>
            <c:bubble3D val="0"/>
            <c:spPr>
              <a:solidFill>
                <a:srgbClr val="C6C646"/>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A55A-524A-ACAB-2EBE7687C9A5}"/>
              </c:ext>
            </c:extLst>
          </c:dPt>
          <c:dPt>
            <c:idx val="3"/>
            <c:bubble3D val="0"/>
            <c:spPr>
              <a:solidFill>
                <a:srgbClr val="92D05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A55A-524A-ACAB-2EBE7687C9A5}"/>
              </c:ext>
            </c:extLst>
          </c:dPt>
          <c:dPt>
            <c:idx val="4"/>
            <c:bubble3D val="0"/>
            <c:spPr>
              <a:solidFill>
                <a:srgbClr val="66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A55A-524A-ACAB-2EBE7687C9A5}"/>
              </c:ext>
            </c:extLst>
          </c:dPt>
          <c:dPt>
            <c:idx val="5"/>
            <c:bubble3D val="0"/>
            <c:spPr>
              <a:solidFill>
                <a:srgbClr val="66663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A55A-524A-ACAB-2EBE7687C9A5}"/>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6-A55A-524A-ACAB-2EBE7687C9A5}"/>
              </c:ext>
            </c:extLst>
          </c:dPt>
          <c:dLbls>
            <c:dLbl>
              <c:idx val="0"/>
              <c:layout>
                <c:manualLayout>
                  <c:x val="-9.3071007520389909E-2"/>
                  <c:y val="6.667683162467659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5A-524A-ACAB-2EBE7687C9A5}"/>
                </c:ext>
              </c:extLst>
            </c:dLbl>
            <c:dLbl>
              <c:idx val="1"/>
              <c:layout>
                <c:manualLayout>
                  <c:x val="-3.4789919178752363E-2"/>
                  <c:y val="-3.539968946499674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5A-524A-ACAB-2EBE7687C9A5}"/>
                </c:ext>
              </c:extLst>
            </c:dLbl>
            <c:dLbl>
              <c:idx val="2"/>
              <c:layout>
                <c:manualLayout>
                  <c:x val="0.1967630355686151"/>
                  <c:y val="2.147344191089986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5A-524A-ACAB-2EBE7687C9A5}"/>
                </c:ext>
              </c:extLst>
            </c:dLbl>
            <c:dLbl>
              <c:idx val="3"/>
              <c:layout>
                <c:manualLayout>
                  <c:x val="0.14913010611536692"/>
                  <c:y val="-5.639695984854344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5A-524A-ACAB-2EBE7687C9A5}"/>
                </c:ext>
              </c:extLst>
            </c:dLbl>
            <c:dLbl>
              <c:idx val="4"/>
              <c:layout>
                <c:manualLayout>
                  <c:x val="0.17698646598286752"/>
                  <c:y val="-5.683199964492798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5A-524A-ACAB-2EBE7687C9A5}"/>
                </c:ext>
              </c:extLst>
            </c:dLbl>
            <c:dLbl>
              <c:idx val="5"/>
              <c:layout>
                <c:manualLayout>
                  <c:x val="0.18016428046065763"/>
                  <c:y val="1.232096218406047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5A-524A-ACAB-2EBE7687C9A5}"/>
                </c:ext>
              </c:extLst>
            </c:dLbl>
            <c:dLbl>
              <c:idx val="6"/>
              <c:layout>
                <c:manualLayout>
                  <c:x val="0.1877726511566559"/>
                  <c:y val="0.1002454894752509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5A-524A-ACAB-2EBE7687C9A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6600"/>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'Report-Upstream'!$A$3:$A$9</c:f>
              <c:strCache>
                <c:ptCount val="7"/>
                <c:pt idx="0">
                  <c:v>Glass</c:v>
                </c:pt>
                <c:pt idx="1">
                  <c:v>Barley</c:v>
                </c:pt>
                <c:pt idx="2">
                  <c:v>Aluminum</c:v>
                </c:pt>
                <c:pt idx="3">
                  <c:v>Malt</c:v>
                </c:pt>
                <c:pt idx="4">
                  <c:v>Fiber packaging</c:v>
                </c:pt>
                <c:pt idx="5">
                  <c:v>Carbon dioxide purchases</c:v>
                </c:pt>
                <c:pt idx="6">
                  <c:v>Water</c:v>
                </c:pt>
              </c:strCache>
            </c:strRef>
          </c:cat>
          <c:val>
            <c:numRef>
              <c:f>'Report-Upstream'!$B$3:$B$9</c:f>
              <c:numCache>
                <c:formatCode>0%</c:formatCode>
                <c:ptCount val="7"/>
                <c:pt idx="0">
                  <c:v>0.28677360783931155</c:v>
                </c:pt>
                <c:pt idx="1">
                  <c:v>0.30052511738564908</c:v>
                </c:pt>
                <c:pt idx="2">
                  <c:v>0.26583282542252407</c:v>
                </c:pt>
                <c:pt idx="3">
                  <c:v>0.11045546455244451</c:v>
                </c:pt>
                <c:pt idx="4">
                  <c:v>3.1948729438786731E-2</c:v>
                </c:pt>
                <c:pt idx="5" formatCode="0.0%">
                  <c:v>4.3915584989114645E-3</c:v>
                </c:pt>
                <c:pt idx="6" formatCode="0.00%">
                  <c:v>7.2696862372703775E-5</c:v>
                </c:pt>
              </c:numCache>
            </c:numRef>
          </c:val>
          <c:extLst>
            <c:ext xmlns:c16="http://schemas.microsoft.com/office/drawing/2014/chart" uri="{C3380CC4-5D6E-409C-BE32-E72D297353CC}">
              <c16:uniqueId val="{00000007-A55A-524A-ACAB-2EBE7687C9A5}"/>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38100" cap="flat" cmpd="sng" algn="ctr">
      <a:solidFill>
        <a:schemeClr val="accent1">
          <a:lumMod val="60000"/>
          <a:lumOff val="40000"/>
        </a:schemeClr>
      </a:solidFill>
      <a:round/>
    </a:ln>
    <a:effectLst/>
  </c:spPr>
  <c:txPr>
    <a:bodyPr/>
    <a:lstStyle/>
    <a:p>
      <a:pPr>
        <a:defRPr/>
      </a:pPr>
      <a:endParaRPr lang="en-US"/>
    </a:p>
  </c:txPr>
  <c:printSettings>
    <c:headerFooter/>
    <c:pageMargins b="0.7500000000000101" l="0.70000000000000107" r="0.70000000000000107" t="0.7500000000000101" header="0.30000000000000004" footer="0.30000000000000004"/>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'Report-Downstream'!$A$1</c:f>
          <c:strCache>
            <c:ptCount val="1"/>
            <c:pt idx="0">
              <c:v>2020 Low Carbon Brewing Company GHG Emissions - Downstream Sources</c:v>
            </c:pt>
          </c:strCache>
        </c:strRef>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30"/>
      <c:rotY val="15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0318053030437308"/>
          <c:y val="0.10408732012726125"/>
          <c:w val="0.49971042688356437"/>
          <c:h val="0.65597080841574829"/>
        </c:manualLayout>
      </c:layout>
      <c:pie3DChart>
        <c:varyColors val="1"/>
        <c:ser>
          <c:idx val="0"/>
          <c:order val="0"/>
          <c:dPt>
            <c:idx val="0"/>
            <c:bubble3D val="0"/>
            <c:spPr>
              <a:solidFill>
                <a:srgbClr val="0066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FDB2-4344-A884-F6AB3DBAA5EC}"/>
              </c:ext>
            </c:extLst>
          </c:dPt>
          <c:dPt>
            <c:idx val="1"/>
            <c:bubble3D val="0"/>
            <c:spPr>
              <a:solidFill>
                <a:srgbClr val="CCFF99"/>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FDB2-4344-A884-F6AB3DBAA5EC}"/>
              </c:ext>
            </c:extLst>
          </c:dPt>
          <c:dPt>
            <c:idx val="2"/>
            <c:bubble3D val="0"/>
            <c:spPr>
              <a:solidFill>
                <a:srgbClr val="161B0B"/>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FDB2-4344-A884-F6AB3DBAA5EC}"/>
              </c:ext>
            </c:extLst>
          </c:dPt>
          <c:dLbls>
            <c:dLbl>
              <c:idx val="0"/>
              <c:layout>
                <c:manualLayout>
                  <c:x val="-6.4625270192091716E-2"/>
                  <c:y val="-7.421883226333314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B2-4344-A884-F6AB3DBAA5EC}"/>
                </c:ext>
              </c:extLst>
            </c:dLbl>
            <c:dLbl>
              <c:idx val="1"/>
              <c:layout>
                <c:manualLayout>
                  <c:x val="0.13408372181369013"/>
                  <c:y val="-8.8548622388046339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B2-4344-A884-F6AB3DBAA5EC}"/>
                </c:ext>
              </c:extLst>
            </c:dLbl>
            <c:dLbl>
              <c:idx val="2"/>
              <c:layout>
                <c:manualLayout>
                  <c:x val="9.8477771388506094E-2"/>
                  <c:y val="1.69495127865736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B2-4344-A884-F6AB3DBAA5EC}"/>
                </c:ext>
              </c:extLst>
            </c:dLbl>
            <c:dLbl>
              <c:idx val="3"/>
              <c:layout>
                <c:manualLayout>
                  <c:x val="7.2884444423045092E-2"/>
                  <c:y val="-2.7746861782378178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B2-4344-A884-F6AB3DBAA5EC}"/>
                </c:ext>
              </c:extLst>
            </c:dLbl>
            <c:dLbl>
              <c:idx val="4"/>
              <c:layout>
                <c:manualLayout>
                  <c:x val="5.620792186253195E-2"/>
                  <c:y val="8.373163450311925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B2-4344-A884-F6AB3DBAA5EC}"/>
                </c:ext>
              </c:extLst>
            </c:dLbl>
            <c:dLbl>
              <c:idx val="5"/>
              <c:layout>
                <c:manualLayout>
                  <c:x val="4.325750113913971E-2"/>
                  <c:y val="6.78731244765157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B2-4344-A884-F6AB3DBAA5E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6600"/>
                    </a:solidFill>
                    <a:latin typeface="+mn-lt"/>
                    <a:ea typeface="+mn-ea"/>
                    <a:cs typeface="+mn-cs"/>
                  </a:defRPr>
                </a:pPr>
                <a:endParaRPr lang="en-US"/>
              </a:p>
            </c:txPr>
            <c:dLblPos val="ct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'Report-Downstream'!$A$3:$A$5</c:f>
              <c:strCache>
                <c:ptCount val="3"/>
                <c:pt idx="0">
                  <c:v>Distribution</c:v>
                </c:pt>
                <c:pt idx="1">
                  <c:v>Retail</c:v>
                </c:pt>
                <c:pt idx="2">
                  <c:v>Use</c:v>
                </c:pt>
              </c:strCache>
            </c:strRef>
          </c:cat>
          <c:val>
            <c:numRef>
              <c:f>'Report-Downstream'!$B$3:$B$5</c:f>
              <c:numCache>
                <c:formatCode>0%</c:formatCode>
                <c:ptCount val="3"/>
                <c:pt idx="0">
                  <c:v>0.52575310742501202</c:v>
                </c:pt>
                <c:pt idx="1">
                  <c:v>0.41245639280781449</c:v>
                </c:pt>
                <c:pt idx="2">
                  <c:v>6.1790499767173504E-2</c:v>
                </c:pt>
              </c:numCache>
            </c:numRef>
          </c:val>
          <c:extLst>
            <c:ext xmlns:c16="http://schemas.microsoft.com/office/drawing/2014/chart" uri="{C3380CC4-5D6E-409C-BE32-E72D297353CC}">
              <c16:uniqueId val="{00000006-FDB2-4344-A884-F6AB3DBAA5EC}"/>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38100" cap="flat" cmpd="sng" algn="ctr">
      <a:solidFill>
        <a:schemeClr val="accent1">
          <a:lumMod val="60000"/>
          <a:lumOff val="40000"/>
        </a:schemeClr>
      </a:solidFill>
      <a:round/>
    </a:ln>
    <a:effectLst/>
  </c:spPr>
  <c:txPr>
    <a:bodyPr/>
    <a:lstStyle/>
    <a:p>
      <a:pPr>
        <a:defRPr/>
      </a:pPr>
      <a:endParaRPr lang="en-US"/>
    </a:p>
  </c:txPr>
  <c:printSettings>
    <c:headerFooter/>
    <c:pageMargins b="0.7500000000000101" l="0.70000000000000107" r="0.70000000000000107" t="0.7500000000000101" header="0.30000000000000004" footer="0.30000000000000004"/>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6</xdr:col>
      <xdr:colOff>1488594</xdr:colOff>
      <xdr:row>0</xdr:row>
      <xdr:rowOff>95249</xdr:rowOff>
    </xdr:from>
    <xdr:to>
      <xdr:col>7</xdr:col>
      <xdr:colOff>635918</xdr:colOff>
      <xdr:row>3</xdr:row>
      <xdr:rowOff>239183</xdr:rowOff>
    </xdr:to>
    <xdr:pic>
      <xdr:nvPicPr>
        <xdr:cNvPr id="3" name="Picture 2">
          <a:extLst>
            <a:ext uri="{FF2B5EF4-FFF2-40B4-BE49-F238E27FC236}">
              <a16:creationId xmlns:a16="http://schemas.microsoft.com/office/drawing/2014/main" id="{29E17E92-1167-4426-B62D-2135A97C1E7C}"/>
            </a:ext>
          </a:extLst>
        </xdr:cNvPr>
        <xdr:cNvPicPr>
          <a:picLocks noChangeAspect="1"/>
        </xdr:cNvPicPr>
      </xdr:nvPicPr>
      <xdr:blipFill>
        <a:blip xmlns:r="http://schemas.openxmlformats.org/officeDocument/2006/relationships" r:embed="rId1"/>
        <a:stretch>
          <a:fillRect/>
        </a:stretch>
      </xdr:blipFill>
      <xdr:spPr>
        <a:xfrm>
          <a:off x="12558761" y="95249"/>
          <a:ext cx="952840" cy="96308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0.02574</cdr:x>
      <cdr:y>0.71198</cdr:y>
    </cdr:from>
    <cdr:to>
      <cdr:x>0.33344</cdr:x>
      <cdr:y>0.97135</cdr:y>
    </cdr:to>
    <cdr:sp macro="" textlink="">
      <cdr:nvSpPr>
        <cdr:cNvPr id="14" name="Rectangle 1"/>
        <cdr:cNvSpPr/>
      </cdr:nvSpPr>
      <cdr:spPr>
        <a:xfrm xmlns:a="http://schemas.openxmlformats.org/drawingml/2006/main">
          <a:off x="198935" y="3589413"/>
          <a:ext cx="2378096" cy="1307592"/>
        </a:xfrm>
        <a:prstGeom xmlns:a="http://schemas.openxmlformats.org/drawingml/2006/main" prst="rect">
          <a:avLst/>
        </a:prstGeom>
        <a:solidFill xmlns:a="http://schemas.openxmlformats.org/drawingml/2006/main">
          <a:srgbClr val="61A6D1"/>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b="1"/>
            <a:t>Scope 1: Direct Emissions</a:t>
          </a:r>
        </a:p>
        <a:p xmlns:a="http://schemas.openxmlformats.org/drawingml/2006/main">
          <a:r>
            <a:rPr lang="en-US" sz="900">
              <a:solidFill>
                <a:schemeClr val="tx1"/>
              </a:solidFill>
            </a:rPr>
            <a:t>Emissions directly occurring "from sources that are owned or controlled by the institution, including: on-campus stationary combustion of fossil fuels; mobile combustion of fossil fuels by institution owned/controlled vehicles; and "fugitive" emissions.</a:t>
          </a:r>
        </a:p>
      </cdr:txBody>
    </cdr:sp>
  </cdr:relSizeAnchor>
  <cdr:relSizeAnchor xmlns:cdr="http://schemas.openxmlformats.org/drawingml/2006/chartDrawing">
    <cdr:from>
      <cdr:x>0.3343</cdr:x>
      <cdr:y>0.71112</cdr:y>
    </cdr:from>
    <cdr:to>
      <cdr:x>0.65257</cdr:x>
      <cdr:y>0.97083</cdr:y>
    </cdr:to>
    <cdr:sp macro="" textlink="">
      <cdr:nvSpPr>
        <cdr:cNvPr id="15" name="Rectangle 3"/>
        <cdr:cNvSpPr/>
      </cdr:nvSpPr>
      <cdr:spPr>
        <a:xfrm xmlns:a="http://schemas.openxmlformats.org/drawingml/2006/main">
          <a:off x="2583677" y="3585083"/>
          <a:ext cx="2459788" cy="1309316"/>
        </a:xfrm>
        <a:prstGeom xmlns:a="http://schemas.openxmlformats.org/drawingml/2006/main" prst="rect">
          <a:avLst/>
        </a:prstGeom>
        <a:solidFill xmlns:a="http://schemas.openxmlformats.org/drawingml/2006/main">
          <a:srgbClr val="C25552"/>
        </a:solidFill>
        <a:ln xmlns:a="http://schemas.openxmlformats.org/drawingml/2006/main">
          <a:solidFill>
            <a:schemeClr val="accent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2: Indirect Emissions</a:t>
          </a:r>
        </a:p>
        <a:p xmlns:a="http://schemas.openxmlformats.org/drawingml/2006/main">
          <a:r>
            <a:rPr lang="en-US" sz="1100">
              <a:solidFill>
                <a:schemeClr val="tx1"/>
              </a:solidFill>
              <a:latin typeface="+mn-lt"/>
              <a:ea typeface="+mn-ea"/>
              <a:cs typeface="+mn-cs"/>
            </a:rPr>
            <a:t>I</a:t>
          </a:r>
          <a:r>
            <a:rPr lang="en-US">
              <a:solidFill>
                <a:schemeClr val="tx1"/>
              </a:solidFill>
            </a:rPr>
            <a:t>ndirect emissions generated in the production of electricity consumed by the institution</a:t>
          </a:r>
          <a:r>
            <a:rPr lang="en-US" sz="1100">
              <a:solidFill>
                <a:schemeClr val="tx1"/>
              </a:solidFill>
              <a:latin typeface="+mn-lt"/>
              <a:ea typeface="+mn-ea"/>
              <a:cs typeface="+mn-cs"/>
            </a:rPr>
            <a:t> </a:t>
          </a:r>
          <a:endParaRPr lang="en-US" sz="1200" b="1">
            <a:solidFill>
              <a:schemeClr val="tx1"/>
            </a:solidFill>
          </a:endParaRPr>
        </a:p>
      </cdr:txBody>
    </cdr:sp>
  </cdr:relSizeAnchor>
  <cdr:relSizeAnchor xmlns:cdr="http://schemas.openxmlformats.org/drawingml/2006/chartDrawing">
    <cdr:from>
      <cdr:x>0.65385</cdr:x>
      <cdr:y>0.71155</cdr:y>
    </cdr:from>
    <cdr:to>
      <cdr:x>0.97669</cdr:x>
      <cdr:y>0.97092</cdr:y>
    </cdr:to>
    <cdr:sp macro="" textlink="">
      <cdr:nvSpPr>
        <cdr:cNvPr id="16" name="Rectangle 4"/>
        <cdr:cNvSpPr/>
      </cdr:nvSpPr>
      <cdr:spPr>
        <a:xfrm xmlns:a="http://schemas.openxmlformats.org/drawingml/2006/main">
          <a:off x="5053358" y="3587250"/>
          <a:ext cx="2495107" cy="1307592"/>
        </a:xfrm>
        <a:prstGeom xmlns:a="http://schemas.openxmlformats.org/drawingml/2006/main" prst="rect">
          <a:avLst/>
        </a:prstGeom>
        <a:solidFill xmlns:a="http://schemas.openxmlformats.org/drawingml/2006/main">
          <a:srgbClr val="5F8A26"/>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3: Indirect Emissions</a:t>
          </a:r>
        </a:p>
        <a:p xmlns:a="http://schemas.openxmlformats.org/drawingml/2006/main">
          <a:r>
            <a:rPr lang="en-US">
              <a:solidFill>
                <a:schemeClr val="tx1"/>
              </a:solidFill>
            </a:rPr>
            <a:t>All the other indirect emissions that are "a consequence of the activities of the institution, but occur from sources not owned or controlled by the institution</a:t>
          </a:r>
          <a:endParaRPr lang="en-US" sz="1200" b="1">
            <a:solidFill>
              <a:schemeClr val="tx1"/>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123472</xdr:colOff>
      <xdr:row>102</xdr:row>
      <xdr:rowOff>190500</xdr:rowOff>
    </xdr:from>
    <xdr:to>
      <xdr:col>3</xdr:col>
      <xdr:colOff>1142730</xdr:colOff>
      <xdr:row>119</xdr:row>
      <xdr:rowOff>132951</xdr:rowOff>
    </xdr:to>
    <xdr:pic>
      <xdr:nvPicPr>
        <xdr:cNvPr id="4" name="Picture 3">
          <a:extLst>
            <a:ext uri="{FF2B5EF4-FFF2-40B4-BE49-F238E27FC236}">
              <a16:creationId xmlns:a16="http://schemas.microsoft.com/office/drawing/2014/main" id="{C584CAFE-EC07-491E-B82D-D19765D4200A}"/>
            </a:ext>
          </a:extLst>
        </xdr:cNvPr>
        <xdr:cNvPicPr>
          <a:picLocks noChangeAspect="1"/>
        </xdr:cNvPicPr>
      </xdr:nvPicPr>
      <xdr:blipFill>
        <a:blip xmlns:r="http://schemas.openxmlformats.org/officeDocument/2006/relationships" r:embed="rId1"/>
        <a:stretch>
          <a:fillRect/>
        </a:stretch>
      </xdr:blipFill>
      <xdr:spPr>
        <a:xfrm>
          <a:off x="123472" y="21314833"/>
          <a:ext cx="5764119" cy="330089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123825</xdr:colOff>
      <xdr:row>41</xdr:row>
      <xdr:rowOff>152400</xdr:rowOff>
    </xdr:from>
    <xdr:to>
      <xdr:col>5</xdr:col>
      <xdr:colOff>387350</xdr:colOff>
      <xdr:row>54</xdr:row>
      <xdr:rowOff>158751</xdr:rowOff>
    </xdr:to>
    <xdr:pic>
      <xdr:nvPicPr>
        <xdr:cNvPr id="2" name="Picture 1">
          <a:extLst>
            <a:ext uri="{FF2B5EF4-FFF2-40B4-BE49-F238E27FC236}">
              <a16:creationId xmlns:a16="http://schemas.microsoft.com/office/drawing/2014/main" id="{EBFA3ACD-DA5E-5440-84B6-51CF0521E741}"/>
            </a:ext>
          </a:extLst>
        </xdr:cNvPr>
        <xdr:cNvPicPr>
          <a:picLocks noChangeAspect="1"/>
        </xdr:cNvPicPr>
      </xdr:nvPicPr>
      <xdr:blipFill>
        <a:blip xmlns:r="http://schemas.openxmlformats.org/officeDocument/2006/relationships" r:embed="rId1"/>
        <a:stretch>
          <a:fillRect/>
        </a:stretch>
      </xdr:blipFill>
      <xdr:spPr>
        <a:xfrm>
          <a:off x="466725" y="7820025"/>
          <a:ext cx="6515100" cy="2362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85019</xdr:colOff>
      <xdr:row>55</xdr:row>
      <xdr:rowOff>56444</xdr:rowOff>
    </xdr:from>
    <xdr:to>
      <xdr:col>8</xdr:col>
      <xdr:colOff>1150761</xdr:colOff>
      <xdr:row>67</xdr:row>
      <xdr:rowOff>1387</xdr:rowOff>
    </xdr:to>
    <xdr:pic>
      <xdr:nvPicPr>
        <xdr:cNvPr id="2" name="Picture 1">
          <a:extLst>
            <a:ext uri="{FF2B5EF4-FFF2-40B4-BE49-F238E27FC236}">
              <a16:creationId xmlns:a16="http://schemas.microsoft.com/office/drawing/2014/main" id="{77C3B719-6F5C-5A4F-8B3C-5E19B7CBC0E3}"/>
            </a:ext>
          </a:extLst>
        </xdr:cNvPr>
        <xdr:cNvPicPr>
          <a:picLocks noChangeAspect="1"/>
        </xdr:cNvPicPr>
      </xdr:nvPicPr>
      <xdr:blipFill>
        <a:blip xmlns:r="http://schemas.openxmlformats.org/officeDocument/2006/relationships" r:embed="rId1"/>
        <a:stretch>
          <a:fillRect/>
        </a:stretch>
      </xdr:blipFill>
      <xdr:spPr>
        <a:xfrm>
          <a:off x="4314119" y="10429169"/>
          <a:ext cx="5183717" cy="2116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95193</xdr:colOff>
      <xdr:row>0</xdr:row>
      <xdr:rowOff>101600</xdr:rowOff>
    </xdr:from>
    <xdr:to>
      <xdr:col>6</xdr:col>
      <xdr:colOff>373793</xdr:colOff>
      <xdr:row>2</xdr:row>
      <xdr:rowOff>57150</xdr:rowOff>
    </xdr:to>
    <xdr:pic>
      <xdr:nvPicPr>
        <xdr:cNvPr id="2" name="Picture 1">
          <a:extLst>
            <a:ext uri="{FF2B5EF4-FFF2-40B4-BE49-F238E27FC236}">
              <a16:creationId xmlns:a16="http://schemas.microsoft.com/office/drawing/2014/main" id="{1E9B7E8B-D6A4-4CC2-8746-89DC00D238FA}"/>
            </a:ext>
          </a:extLst>
        </xdr:cNvPr>
        <xdr:cNvPicPr>
          <a:picLocks noChangeAspect="1"/>
        </xdr:cNvPicPr>
      </xdr:nvPicPr>
      <xdr:blipFill>
        <a:blip xmlns:r="http://schemas.openxmlformats.org/officeDocument/2006/relationships" r:embed="rId1"/>
        <a:stretch>
          <a:fillRect/>
        </a:stretch>
      </xdr:blipFill>
      <xdr:spPr>
        <a:xfrm>
          <a:off x="10039533" y="101600"/>
          <a:ext cx="631684" cy="638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259362</xdr:colOff>
      <xdr:row>0</xdr:row>
      <xdr:rowOff>114118</xdr:rowOff>
    </xdr:from>
    <xdr:to>
      <xdr:col>19</xdr:col>
      <xdr:colOff>571500</xdr:colOff>
      <xdr:row>36</xdr:row>
      <xdr:rowOff>188201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0.02918</cdr:x>
      <cdr:y>0.76654</cdr:y>
    </cdr:from>
    <cdr:to>
      <cdr:x>0.33688</cdr:x>
      <cdr:y>0.98414</cdr:y>
    </cdr:to>
    <cdr:sp macro="" textlink="">
      <cdr:nvSpPr>
        <cdr:cNvPr id="2" name="Rectangle 1"/>
        <cdr:cNvSpPr/>
      </cdr:nvSpPr>
      <cdr:spPr>
        <a:xfrm xmlns:a="http://schemas.openxmlformats.org/drawingml/2006/main">
          <a:off x="262002" y="5325854"/>
          <a:ext cx="2763111" cy="1511930"/>
        </a:xfrm>
        <a:prstGeom xmlns:a="http://schemas.openxmlformats.org/drawingml/2006/main" prst="rect">
          <a:avLst/>
        </a:prstGeom>
        <a:solidFill xmlns:a="http://schemas.openxmlformats.org/drawingml/2006/main">
          <a:srgbClr val="61A6D1"/>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200" b="1"/>
            <a:t>Scope 1: Direct Emissions</a:t>
          </a:r>
        </a:p>
        <a:p xmlns:a="http://schemas.openxmlformats.org/drawingml/2006/main">
          <a:r>
            <a:rPr lang="en-US" sz="1050">
              <a:solidFill>
                <a:schemeClr val="tx1"/>
              </a:solidFill>
            </a:rPr>
            <a:t>Emissions directly occurring "from sources that are owned or controlled by the institution, including: on-campus stationary combustion of fossil fuels; mobile combustion of fossil fuels by institution owned/controlled vehicles; and "fugitive" emissions.</a:t>
          </a:r>
        </a:p>
      </cdr:txBody>
    </cdr:sp>
  </cdr:relSizeAnchor>
  <cdr:relSizeAnchor xmlns:cdr="http://schemas.openxmlformats.org/drawingml/2006/chartDrawing">
    <cdr:from>
      <cdr:x>0.3382</cdr:x>
      <cdr:y>0.76654</cdr:y>
    </cdr:from>
    <cdr:to>
      <cdr:x>0.64589</cdr:x>
      <cdr:y>0.98434</cdr:y>
    </cdr:to>
    <cdr:sp macro="" textlink="">
      <cdr:nvSpPr>
        <cdr:cNvPr id="4" name="Rectangle 3"/>
        <cdr:cNvSpPr/>
      </cdr:nvSpPr>
      <cdr:spPr>
        <a:xfrm xmlns:a="http://schemas.openxmlformats.org/drawingml/2006/main">
          <a:off x="3036967" y="5325853"/>
          <a:ext cx="2763021" cy="1513279"/>
        </a:xfrm>
        <a:prstGeom xmlns:a="http://schemas.openxmlformats.org/drawingml/2006/main" prst="rect">
          <a:avLst/>
        </a:prstGeom>
        <a:solidFill xmlns:a="http://schemas.openxmlformats.org/drawingml/2006/main">
          <a:srgbClr val="C25552"/>
        </a:solidFill>
        <a:ln xmlns:a="http://schemas.openxmlformats.org/drawingml/2006/main">
          <a:solidFill>
            <a:schemeClr val="accent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200" b="1"/>
            <a:t>Scope 2: Indirect Emissions</a:t>
          </a:r>
        </a:p>
        <a:p xmlns:a="http://schemas.openxmlformats.org/drawingml/2006/main">
          <a:r>
            <a:rPr lang="en-US" sz="1100">
              <a:solidFill>
                <a:schemeClr val="tx1"/>
              </a:solidFill>
              <a:latin typeface="+mn-lt"/>
              <a:ea typeface="+mn-ea"/>
              <a:cs typeface="+mn-cs"/>
            </a:rPr>
            <a:t>I</a:t>
          </a:r>
          <a:r>
            <a:rPr lang="en-US">
              <a:solidFill>
                <a:schemeClr val="tx1"/>
              </a:solidFill>
            </a:rPr>
            <a:t>ndirect emissions generated in the production of electricity consumed by the institution</a:t>
          </a:r>
          <a:r>
            <a:rPr lang="en-US" sz="1100">
              <a:solidFill>
                <a:schemeClr val="tx1"/>
              </a:solidFill>
              <a:latin typeface="+mn-lt"/>
              <a:ea typeface="+mn-ea"/>
              <a:cs typeface="+mn-cs"/>
            </a:rPr>
            <a:t> </a:t>
          </a:r>
          <a:endParaRPr lang="en-US" sz="1200" b="1">
            <a:solidFill>
              <a:schemeClr val="tx1"/>
            </a:solidFill>
          </a:endParaRPr>
        </a:p>
      </cdr:txBody>
    </cdr:sp>
  </cdr:relSizeAnchor>
  <cdr:relSizeAnchor xmlns:cdr="http://schemas.openxmlformats.org/drawingml/2006/chartDrawing">
    <cdr:from>
      <cdr:x>0.64855</cdr:x>
      <cdr:y>0.76654</cdr:y>
    </cdr:from>
    <cdr:to>
      <cdr:x>0.95624</cdr:x>
      <cdr:y>0.98414</cdr:y>
    </cdr:to>
    <cdr:sp macro="" textlink="">
      <cdr:nvSpPr>
        <cdr:cNvPr id="5" name="Rectangle 4"/>
        <cdr:cNvSpPr/>
      </cdr:nvSpPr>
      <cdr:spPr>
        <a:xfrm xmlns:a="http://schemas.openxmlformats.org/drawingml/2006/main">
          <a:off x="5823875" y="5325854"/>
          <a:ext cx="2763022" cy="1511930"/>
        </a:xfrm>
        <a:prstGeom xmlns:a="http://schemas.openxmlformats.org/drawingml/2006/main" prst="rect">
          <a:avLst/>
        </a:prstGeom>
        <a:solidFill xmlns:a="http://schemas.openxmlformats.org/drawingml/2006/main">
          <a:srgbClr val="5F8A26"/>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200" b="1"/>
            <a:t>Scope 3: Indirect Emissions</a:t>
          </a:r>
        </a:p>
        <a:p xmlns:a="http://schemas.openxmlformats.org/drawingml/2006/main">
          <a:r>
            <a:rPr lang="en-US">
              <a:solidFill>
                <a:schemeClr val="tx1"/>
              </a:solidFill>
            </a:rPr>
            <a:t>All the other indirect emissions that are "a consequence of the activities of the institution, but occur from sources not owned or controlled by the institution</a:t>
          </a:r>
          <a:endParaRPr lang="en-US" sz="1200" b="1">
            <a:solidFill>
              <a:schemeClr val="tx1"/>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47180</xdr:colOff>
      <xdr:row>2</xdr:row>
      <xdr:rowOff>11976</xdr:rowOff>
    </xdr:from>
    <xdr:to>
      <xdr:col>15</xdr:col>
      <xdr:colOff>404898</xdr:colOff>
      <xdr:row>28</xdr:row>
      <xdr:rowOff>86059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0.02266</cdr:x>
      <cdr:y>0.71341</cdr:y>
    </cdr:from>
    <cdr:to>
      <cdr:x>0.33225</cdr:x>
      <cdr:y>0.98266</cdr:y>
    </cdr:to>
    <cdr:sp macro="" textlink="">
      <cdr:nvSpPr>
        <cdr:cNvPr id="6" name="Rectangle 1"/>
        <cdr:cNvSpPr/>
      </cdr:nvSpPr>
      <cdr:spPr>
        <a:xfrm xmlns:a="http://schemas.openxmlformats.org/drawingml/2006/main">
          <a:off x="176509" y="3524374"/>
          <a:ext cx="2411155" cy="1330145"/>
        </a:xfrm>
        <a:prstGeom xmlns:a="http://schemas.openxmlformats.org/drawingml/2006/main" prst="rect">
          <a:avLst/>
        </a:prstGeom>
        <a:solidFill xmlns:a="http://schemas.openxmlformats.org/drawingml/2006/main">
          <a:srgbClr val="61A6D1"/>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b="1"/>
            <a:t>Scope 1: Direct Emissions</a:t>
          </a:r>
        </a:p>
        <a:p xmlns:a="http://schemas.openxmlformats.org/drawingml/2006/main">
          <a:r>
            <a:rPr lang="en-US" sz="900">
              <a:solidFill>
                <a:schemeClr val="tx1"/>
              </a:solidFill>
            </a:rPr>
            <a:t>Emissions directly occurring "from sources that are owned or controlled by the institution, including: on-campus stationary combustion of fossil fuels; mobile combustion of fossil fuels by institution owned/controlled vehicles; and "fugitive" emissions.</a:t>
          </a:r>
        </a:p>
      </cdr:txBody>
    </cdr:sp>
  </cdr:relSizeAnchor>
  <cdr:relSizeAnchor xmlns:cdr="http://schemas.openxmlformats.org/drawingml/2006/chartDrawing">
    <cdr:from>
      <cdr:x>0.33225</cdr:x>
      <cdr:y>0.71341</cdr:y>
    </cdr:from>
    <cdr:to>
      <cdr:x>0.64947</cdr:x>
      <cdr:y>0.98266</cdr:y>
    </cdr:to>
    <cdr:sp macro="" textlink="">
      <cdr:nvSpPr>
        <cdr:cNvPr id="7" name="Rectangle 3"/>
        <cdr:cNvSpPr/>
      </cdr:nvSpPr>
      <cdr:spPr>
        <a:xfrm xmlns:a="http://schemas.openxmlformats.org/drawingml/2006/main">
          <a:off x="2587664" y="3524374"/>
          <a:ext cx="2470579" cy="1330145"/>
        </a:xfrm>
        <a:prstGeom xmlns:a="http://schemas.openxmlformats.org/drawingml/2006/main" prst="rect">
          <a:avLst/>
        </a:prstGeom>
        <a:solidFill xmlns:a="http://schemas.openxmlformats.org/drawingml/2006/main">
          <a:srgbClr val="C25552"/>
        </a:solidFill>
        <a:ln xmlns:a="http://schemas.openxmlformats.org/drawingml/2006/main">
          <a:solidFill>
            <a:schemeClr val="accent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2: Indirect Emissions</a:t>
          </a:r>
        </a:p>
        <a:p xmlns:a="http://schemas.openxmlformats.org/drawingml/2006/main">
          <a:r>
            <a:rPr lang="en-US" sz="1100">
              <a:solidFill>
                <a:schemeClr val="tx1"/>
              </a:solidFill>
              <a:latin typeface="+mn-lt"/>
              <a:ea typeface="+mn-ea"/>
              <a:cs typeface="+mn-cs"/>
            </a:rPr>
            <a:t>I</a:t>
          </a:r>
          <a:r>
            <a:rPr lang="en-US">
              <a:solidFill>
                <a:schemeClr val="tx1"/>
              </a:solidFill>
            </a:rPr>
            <a:t>ndirect emissions generated in the production of electricity consumed by the institution</a:t>
          </a:r>
          <a:r>
            <a:rPr lang="en-US" sz="1100">
              <a:solidFill>
                <a:schemeClr val="tx1"/>
              </a:solidFill>
              <a:latin typeface="+mn-lt"/>
              <a:ea typeface="+mn-ea"/>
              <a:cs typeface="+mn-cs"/>
            </a:rPr>
            <a:t> </a:t>
          </a:r>
          <a:endParaRPr lang="en-US" sz="1200" b="1">
            <a:solidFill>
              <a:schemeClr val="tx1"/>
            </a:solidFill>
          </a:endParaRPr>
        </a:p>
      </cdr:txBody>
    </cdr:sp>
  </cdr:relSizeAnchor>
  <cdr:relSizeAnchor xmlns:cdr="http://schemas.openxmlformats.org/drawingml/2006/chartDrawing">
    <cdr:from>
      <cdr:x>0.6487</cdr:x>
      <cdr:y>0.71341</cdr:y>
    </cdr:from>
    <cdr:to>
      <cdr:x>0.9699</cdr:x>
      <cdr:y>0.98266</cdr:y>
    </cdr:to>
    <cdr:sp macro="" textlink="">
      <cdr:nvSpPr>
        <cdr:cNvPr id="8" name="Rectangle 4"/>
        <cdr:cNvSpPr/>
      </cdr:nvSpPr>
      <cdr:spPr>
        <a:xfrm xmlns:a="http://schemas.openxmlformats.org/drawingml/2006/main">
          <a:off x="5052224" y="3524374"/>
          <a:ext cx="2501576" cy="1330145"/>
        </a:xfrm>
        <a:prstGeom xmlns:a="http://schemas.openxmlformats.org/drawingml/2006/main" prst="rect">
          <a:avLst/>
        </a:prstGeom>
        <a:solidFill xmlns:a="http://schemas.openxmlformats.org/drawingml/2006/main">
          <a:srgbClr val="5F8A26"/>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3: Indirect Emissions</a:t>
          </a:r>
        </a:p>
        <a:p xmlns:a="http://schemas.openxmlformats.org/drawingml/2006/main">
          <a:r>
            <a:rPr lang="en-US">
              <a:solidFill>
                <a:schemeClr val="tx1"/>
              </a:solidFill>
            </a:rPr>
            <a:t>All the other indirect emissions that are "a consequence of the activities of the institution, but occur from sources not owned or controlled by the institution</a:t>
          </a:r>
          <a:endParaRPr lang="en-US" sz="1200" b="1">
            <a:solidFill>
              <a:schemeClr val="tx1"/>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15732</xdr:colOff>
      <xdr:row>1</xdr:row>
      <xdr:rowOff>179258</xdr:rowOff>
    </xdr:from>
    <xdr:to>
      <xdr:col>15</xdr:col>
      <xdr:colOff>373449</xdr:colOff>
      <xdr:row>29</xdr:row>
      <xdr:rowOff>62841</xdr:rowOff>
    </xdr:to>
    <xdr:graphicFrame macro="">
      <xdr:nvGraphicFramePr>
        <xdr:cNvPr id="2" name="Chart 1">
          <a:extLst>
            <a:ext uri="{FF2B5EF4-FFF2-40B4-BE49-F238E27FC236}">
              <a16:creationId xmlns:a16="http://schemas.microsoft.com/office/drawing/2014/main" id="{19D6B464-6C77-6642-804F-70583C24D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0.02763</cdr:x>
      <cdr:y>0.73174</cdr:y>
    </cdr:from>
    <cdr:to>
      <cdr:x>0.33533</cdr:x>
      <cdr:y>0.98174</cdr:y>
    </cdr:to>
    <cdr:sp macro="" textlink="">
      <cdr:nvSpPr>
        <cdr:cNvPr id="2" name="Rectangle 1"/>
        <cdr:cNvSpPr/>
      </cdr:nvSpPr>
      <cdr:spPr>
        <a:xfrm xmlns:a="http://schemas.openxmlformats.org/drawingml/2006/main">
          <a:off x="216732" y="3827186"/>
          <a:ext cx="2413712" cy="1307592"/>
        </a:xfrm>
        <a:prstGeom xmlns:a="http://schemas.openxmlformats.org/drawingml/2006/main" prst="rect">
          <a:avLst/>
        </a:prstGeom>
        <a:solidFill xmlns:a="http://schemas.openxmlformats.org/drawingml/2006/main">
          <a:srgbClr val="61A6D1"/>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b="1"/>
            <a:t>Scope 1: Direct Emissions</a:t>
          </a:r>
        </a:p>
        <a:p xmlns:a="http://schemas.openxmlformats.org/drawingml/2006/main">
          <a:r>
            <a:rPr lang="en-US" sz="900">
              <a:solidFill>
                <a:schemeClr val="tx1"/>
              </a:solidFill>
            </a:rPr>
            <a:t>Emissions directly occurring "from sources that are owned or controlled by the institution, including: on-campus stationary combustion of fossil fuels; mobile combustion of fossil fuels by institution owned/controlled vehicles; and "fugitive" emissions.</a:t>
          </a:r>
        </a:p>
      </cdr:txBody>
    </cdr:sp>
  </cdr:relSizeAnchor>
  <cdr:relSizeAnchor xmlns:cdr="http://schemas.openxmlformats.org/drawingml/2006/chartDrawing">
    <cdr:from>
      <cdr:x>0.3364</cdr:x>
      <cdr:y>0.73174</cdr:y>
    </cdr:from>
    <cdr:to>
      <cdr:x>0.65281</cdr:x>
      <cdr:y>0.98174</cdr:y>
    </cdr:to>
    <cdr:sp macro="" textlink="">
      <cdr:nvSpPr>
        <cdr:cNvPr id="4" name="Rectangle 3"/>
        <cdr:cNvSpPr/>
      </cdr:nvSpPr>
      <cdr:spPr>
        <a:xfrm xmlns:a="http://schemas.openxmlformats.org/drawingml/2006/main">
          <a:off x="2638837" y="3827186"/>
          <a:ext cx="2482036" cy="1307592"/>
        </a:xfrm>
        <a:prstGeom xmlns:a="http://schemas.openxmlformats.org/drawingml/2006/main" prst="rect">
          <a:avLst/>
        </a:prstGeom>
        <a:solidFill xmlns:a="http://schemas.openxmlformats.org/drawingml/2006/main">
          <a:srgbClr val="C25552"/>
        </a:solidFill>
        <a:ln xmlns:a="http://schemas.openxmlformats.org/drawingml/2006/main">
          <a:solidFill>
            <a:schemeClr val="accent2">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2: Indirect Emissions</a:t>
          </a:r>
        </a:p>
        <a:p xmlns:a="http://schemas.openxmlformats.org/drawingml/2006/main">
          <a:r>
            <a:rPr lang="en-US" sz="1100">
              <a:solidFill>
                <a:schemeClr val="tx1"/>
              </a:solidFill>
              <a:latin typeface="+mn-lt"/>
              <a:ea typeface="+mn-ea"/>
              <a:cs typeface="+mn-cs"/>
            </a:rPr>
            <a:t>I</a:t>
          </a:r>
          <a:r>
            <a:rPr lang="en-US">
              <a:solidFill>
                <a:schemeClr val="tx1"/>
              </a:solidFill>
            </a:rPr>
            <a:t>ndirect emissions generated in the production of electricity consumed by the institution</a:t>
          </a:r>
          <a:r>
            <a:rPr lang="en-US" sz="1100">
              <a:solidFill>
                <a:schemeClr val="tx1"/>
              </a:solidFill>
              <a:latin typeface="+mn-lt"/>
              <a:ea typeface="+mn-ea"/>
              <a:cs typeface="+mn-cs"/>
            </a:rPr>
            <a:t> </a:t>
          </a:r>
          <a:endParaRPr lang="en-US" sz="1200" b="1">
            <a:solidFill>
              <a:schemeClr val="tx1"/>
            </a:solidFill>
          </a:endParaRPr>
        </a:p>
      </cdr:txBody>
    </cdr:sp>
  </cdr:relSizeAnchor>
  <cdr:relSizeAnchor xmlns:cdr="http://schemas.openxmlformats.org/drawingml/2006/chartDrawing">
    <cdr:from>
      <cdr:x>0.65385</cdr:x>
      <cdr:y>0.73174</cdr:y>
    </cdr:from>
    <cdr:to>
      <cdr:x>0.97174</cdr:x>
      <cdr:y>0.98174</cdr:y>
    </cdr:to>
    <cdr:sp macro="" textlink="">
      <cdr:nvSpPr>
        <cdr:cNvPr id="5" name="Rectangle 4"/>
        <cdr:cNvSpPr/>
      </cdr:nvSpPr>
      <cdr:spPr>
        <a:xfrm xmlns:a="http://schemas.openxmlformats.org/drawingml/2006/main">
          <a:off x="5129039" y="3827186"/>
          <a:ext cx="2493646" cy="1307592"/>
        </a:xfrm>
        <a:prstGeom xmlns:a="http://schemas.openxmlformats.org/drawingml/2006/main" prst="rect">
          <a:avLst/>
        </a:prstGeom>
        <a:solidFill xmlns:a="http://schemas.openxmlformats.org/drawingml/2006/main">
          <a:srgbClr val="5F8A26"/>
        </a:solidFill>
        <a:ln xmlns:a="http://schemas.openxmlformats.org/drawingml/2006/main">
          <a:solidFill>
            <a:schemeClr val="accent3">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400" b="1"/>
            <a:t>Scope 3: Indirect Emissions</a:t>
          </a:r>
        </a:p>
        <a:p xmlns:a="http://schemas.openxmlformats.org/drawingml/2006/main">
          <a:r>
            <a:rPr lang="en-US">
              <a:solidFill>
                <a:schemeClr val="tx1"/>
              </a:solidFill>
            </a:rPr>
            <a:t>All the other indirect emissions that are "a consequence of the activities of the institution, but occur from sources not owned or controlled by the institution</a:t>
          </a:r>
          <a:endParaRPr lang="en-US" sz="1200" b="1">
            <a:solidFill>
              <a:schemeClr val="tx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135355</xdr:colOff>
      <xdr:row>1</xdr:row>
      <xdr:rowOff>60159</xdr:rowOff>
    </xdr:from>
    <xdr:to>
      <xdr:col>15</xdr:col>
      <xdr:colOff>511342</xdr:colOff>
      <xdr:row>28</xdr:row>
      <xdr:rowOff>34981</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6148C4-8B97-4114-BA79-22422D63EFF6}" name="Table1" displayName="Table1" ref="C52:E70" totalsRowShown="0" headerRowDxfId="4">
  <autoFilter ref="C52:E70" xr:uid="{5D7F204C-1B98-47F5-8102-3FE10B89D583}"/>
  <sortState xmlns:xlrd2="http://schemas.microsoft.com/office/spreadsheetml/2017/richdata2" ref="C53:E70">
    <sortCondition ref="C52:C70"/>
  </sortState>
  <tableColumns count="3">
    <tableColumn id="1" xr3:uid="{461C3326-A09C-454D-9D9F-02D9C53AEC36}" name="Term" dataDxfId="3"/>
    <tableColumn id="2" xr3:uid="{5CFE89C9-ED8C-42D8-99D9-1BCDEB77C6AE}" name="Description" dataDxfId="2"/>
    <tableColumn id="3" xr3:uid="{E3A55504-6CA7-4181-94DC-CD0E8860C750}" name="Link" dataDxfId="1"/>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heclimateregistry.org/wp-content/uploads/2019/05/The-Climate-Registry-2019-Default-Emission-Factor-Document.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ghgprotocol.org/sites/default/files/ghgp/Global-Warming-Potential-Values%20%28Feb%2016%202016%29_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hgprotocol.org/sites/default/files/ghgp/Global-Warming-Potential-Values%20%28Feb%2016%202016%29_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epa.gov/ghgemissions/overview-greenhouse-gases" TargetMode="External"/><Relationship Id="rId7" Type="http://schemas.openxmlformats.org/officeDocument/2006/relationships/drawing" Target="../drawings/drawing2.xml"/><Relationship Id="rId2" Type="http://schemas.openxmlformats.org/officeDocument/2006/relationships/hyperlink" Target="https://www.bieroundtable.com/" TargetMode="External"/><Relationship Id="rId1" Type="http://schemas.openxmlformats.org/officeDocument/2006/relationships/hyperlink" Target="https://ghgprotocol.org/" TargetMode="External"/><Relationship Id="rId6" Type="http://schemas.openxmlformats.org/officeDocument/2006/relationships/printerSettings" Target="../printerSettings/printerSettings1.bin"/><Relationship Id="rId5" Type="http://schemas.openxmlformats.org/officeDocument/2006/relationships/hyperlink" Target="https://www.epa.gov/sites/default/files/2020-01/documents/egrid2018_summary_tables.pdf" TargetMode="External"/><Relationship Id="rId4" Type="http://schemas.openxmlformats.org/officeDocument/2006/relationships/hyperlink" Target="https://www.ghgprotocol.org/sites/default/files/ghgp/Global-Warming-Potential-Values%20%28Feb%2016%202016%29_1.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General/GHG%20Accounting%20Standards%20%26%20Guidelines/Calculation%20Tools/Emissions%20factors/EPA/Climate%20Leaders/EPA%20GHG%20Inventory%20Guidance%20-%20Stationary%20Emissions_3_2016.pdf" TargetMode="External"/><Relationship Id="rId2" Type="http://schemas.openxmlformats.org/officeDocument/2006/relationships/hyperlink" Target="../../../../General/GHG%20Accounting%20Standards%20%26%20Guidelines/Calculation%20Tools/Emissions%20factors/The%20Climate%20Registry/The-Climate-Registry-2018-Default-Emission-Factor-Document%20(5-1-18).pdf" TargetMode="External"/><Relationship Id="rId1" Type="http://schemas.openxmlformats.org/officeDocument/2006/relationships/hyperlink" Target="http://www.transportation.anl.gov/pdfs/TA/373.pdf" TargetMode="External"/><Relationship Id="rId6" Type="http://schemas.openxmlformats.org/officeDocument/2006/relationships/drawing" Target="../drawings/drawing11.xml"/><Relationship Id="rId5" Type="http://schemas.openxmlformats.org/officeDocument/2006/relationships/printerSettings" Target="../printerSettings/printerSettings6.bin"/><Relationship Id="rId4" Type="http://schemas.openxmlformats.org/officeDocument/2006/relationships/hyperlink" Target="https://www.epa.gov/sites/production/files/2018-03/documents/emission-factors_mar_2018_0.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hgprotocol.org/sites/default/files/ghgp/Global-Warming-Potential-Values%20%28Feb%2016%202016%29_1.pdf" TargetMode="External"/><Relationship Id="rId2" Type="http://schemas.openxmlformats.org/officeDocument/2006/relationships/hyperlink" Target="https://www.epa.gov/energy/egrid-summary-tables" TargetMode="External"/><Relationship Id="rId1" Type="http://schemas.openxmlformats.org/officeDocument/2006/relationships/hyperlink" Target="https://www.epa.gov/energy/emissions-generation-resource-integrated-database-egrid" TargetMode="External"/><Relationship Id="rId6" Type="http://schemas.openxmlformats.org/officeDocument/2006/relationships/printerSettings" Target="../printerSettings/printerSettings7.bin"/><Relationship Id="rId5" Type="http://schemas.openxmlformats.org/officeDocument/2006/relationships/hyperlink" Target="https://www.epa.gov/sites/default/files/2020-01/documents/egrid2018_summary_tables.pdf" TargetMode="External"/><Relationship Id="rId4" Type="http://schemas.openxmlformats.org/officeDocument/2006/relationships/hyperlink" Target="https://www.epa.gov/sites/default/files/2020-01/documents/egrid2018_summary_tab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1D3B-09AE-A844-97A5-B014FEF662E7}">
  <sheetPr>
    <tabColor rgb="FFFFFF00"/>
  </sheetPr>
  <dimension ref="A1:L79"/>
  <sheetViews>
    <sheetView tabSelected="1" zoomScaleNormal="100" workbookViewId="0">
      <selection activeCell="B1" sqref="B1"/>
    </sheetView>
  </sheetViews>
  <sheetFormatPr defaultColWidth="11.453125" defaultRowHeight="14.5" x14ac:dyDescent="0.35"/>
  <cols>
    <col min="1" max="1" width="4.7265625" customWidth="1"/>
    <col min="2" max="2" width="2.1796875" style="687" customWidth="1"/>
    <col min="3" max="3" width="4.26953125" style="687" customWidth="1"/>
    <col min="4" max="4" width="22" customWidth="1"/>
    <col min="5" max="5" width="41.453125" customWidth="1"/>
    <col min="6" max="6" width="84" customWidth="1"/>
    <col min="7" max="7" width="25.81640625" customWidth="1"/>
    <col min="8" max="8" width="10.81640625" customWidth="1"/>
    <col min="9" max="9" width="5.1796875" customWidth="1"/>
    <col min="10" max="10" width="20.54296875" customWidth="1"/>
    <col min="11" max="11" width="36.26953125" customWidth="1"/>
    <col min="12" max="12" width="47.26953125" customWidth="1"/>
  </cols>
  <sheetData>
    <row r="1" spans="1:12" ht="28.5" x14ac:dyDescent="0.65">
      <c r="A1" s="1433"/>
      <c r="B1" s="1462" t="s">
        <v>0</v>
      </c>
      <c r="C1" s="1433"/>
      <c r="D1" s="1434"/>
      <c r="E1" s="1435"/>
      <c r="F1" s="1435"/>
      <c r="G1" s="1435"/>
      <c r="H1" s="1435"/>
      <c r="I1" s="1435"/>
      <c r="J1" s="687"/>
      <c r="K1" s="1425"/>
      <c r="L1" s="1425"/>
    </row>
    <row r="2" spans="1:12" ht="18.5" x14ac:dyDescent="0.45">
      <c r="A2" s="1433"/>
      <c r="B2" s="1436" t="s">
        <v>1</v>
      </c>
      <c r="C2" s="1433"/>
      <c r="D2" s="1436"/>
      <c r="E2" s="1433"/>
      <c r="F2" s="1433"/>
      <c r="G2" s="1433"/>
      <c r="H2" s="1433"/>
      <c r="I2" s="1433"/>
      <c r="J2" s="688"/>
      <c r="K2" s="687"/>
      <c r="L2" s="687"/>
    </row>
    <row r="3" spans="1:12" s="687" customFormat="1" ht="18.649999999999999" customHeight="1" x14ac:dyDescent="0.35">
      <c r="A3" s="1433"/>
      <c r="B3" s="1719" t="s">
        <v>2</v>
      </c>
      <c r="C3" s="1719"/>
      <c r="D3" s="1719"/>
      <c r="E3" s="1719"/>
      <c r="F3" s="1719"/>
      <c r="G3" s="1433"/>
      <c r="H3" s="1433"/>
      <c r="I3" s="1433"/>
    </row>
    <row r="4" spans="1:12" s="687" customFormat="1" ht="25.5" customHeight="1" x14ac:dyDescent="0.35">
      <c r="A4" s="1433"/>
      <c r="B4" s="1719"/>
      <c r="C4" s="1719"/>
      <c r="D4" s="1719"/>
      <c r="E4" s="1719"/>
      <c r="F4" s="1719"/>
      <c r="G4" s="1433"/>
      <c r="H4" s="1433"/>
      <c r="I4" s="1433"/>
    </row>
    <row r="5" spans="1:12" s="687" customFormat="1" ht="25.5" customHeight="1" x14ac:dyDescent="0.45">
      <c r="A5" s="1433"/>
      <c r="B5" s="1458" t="s">
        <v>3</v>
      </c>
      <c r="C5" s="1459"/>
      <c r="D5" s="1459"/>
      <c r="E5" s="1460"/>
      <c r="F5" s="1459"/>
      <c r="G5" s="1459"/>
      <c r="H5" s="1459"/>
      <c r="I5" s="1433"/>
    </row>
    <row r="6" spans="1:12" s="687" customFormat="1" ht="29.5" customHeight="1" thickBot="1" x14ac:dyDescent="0.5">
      <c r="A6" s="1433"/>
      <c r="B6" s="1439"/>
      <c r="C6" s="1439"/>
      <c r="D6" s="1441" t="s">
        <v>4</v>
      </c>
      <c r="E6" s="1440"/>
      <c r="F6" s="1439"/>
      <c r="G6" s="1439"/>
      <c r="H6" s="1439"/>
      <c r="I6" s="1433"/>
    </row>
    <row r="7" spans="1:12" s="687" customFormat="1" ht="18.5" x14ac:dyDescent="0.45">
      <c r="A7" s="1433"/>
      <c r="B7" s="1439"/>
      <c r="C7" s="1439"/>
      <c r="D7" s="1427" t="s">
        <v>5</v>
      </c>
      <c r="E7" s="1428" t="s">
        <v>6</v>
      </c>
      <c r="F7" s="1429" t="s">
        <v>7</v>
      </c>
      <c r="G7" s="1442"/>
      <c r="H7" s="1439"/>
      <c r="I7" s="1433"/>
    </row>
    <row r="8" spans="1:12" s="687" customFormat="1" x14ac:dyDescent="0.35">
      <c r="A8" s="1433"/>
      <c r="B8" s="1439"/>
      <c r="C8" s="1439"/>
      <c r="D8" s="1382"/>
      <c r="E8" s="1503" t="s">
        <v>8</v>
      </c>
      <c r="F8" s="1470" t="s">
        <v>9</v>
      </c>
      <c r="G8" s="1439"/>
      <c r="H8" s="1439"/>
      <c r="I8" s="1433"/>
    </row>
    <row r="9" spans="1:12" s="687" customFormat="1" x14ac:dyDescent="0.35">
      <c r="A9" s="1433"/>
      <c r="B9" s="1439"/>
      <c r="C9" s="1439"/>
      <c r="D9" s="1383"/>
      <c r="E9" s="1503" t="s">
        <v>10</v>
      </c>
      <c r="F9" s="1470" t="s">
        <v>11</v>
      </c>
      <c r="G9" s="1439"/>
      <c r="H9" s="1439"/>
      <c r="I9" s="1433"/>
    </row>
    <row r="10" spans="1:12" s="687" customFormat="1" x14ac:dyDescent="0.35">
      <c r="A10" s="1433"/>
      <c r="B10" s="1439"/>
      <c r="C10" s="1439"/>
      <c r="D10" s="1384"/>
      <c r="E10" s="1503" t="s">
        <v>12</v>
      </c>
      <c r="F10" s="1470" t="s">
        <v>13</v>
      </c>
      <c r="G10" s="1439"/>
      <c r="H10" s="1439"/>
      <c r="I10" s="1433"/>
    </row>
    <row r="11" spans="1:12" s="687" customFormat="1" x14ac:dyDescent="0.35">
      <c r="A11" s="1433"/>
      <c r="B11" s="1439"/>
      <c r="C11" s="1439"/>
      <c r="D11" s="1376"/>
      <c r="E11" s="1503" t="s">
        <v>14</v>
      </c>
      <c r="F11" s="1470" t="s">
        <v>15</v>
      </c>
      <c r="G11" s="1439"/>
      <c r="H11" s="1439"/>
      <c r="I11" s="1433"/>
    </row>
    <row r="12" spans="1:12" s="687" customFormat="1" ht="15" thickBot="1" x14ac:dyDescent="0.4">
      <c r="A12" s="1433"/>
      <c r="B12" s="1439"/>
      <c r="C12" s="1439"/>
      <c r="D12" s="1385"/>
      <c r="E12" s="1504" t="s">
        <v>16</v>
      </c>
      <c r="F12" s="1471" t="s">
        <v>17</v>
      </c>
      <c r="G12" s="1439"/>
      <c r="H12" s="1439"/>
      <c r="I12" s="1433"/>
    </row>
    <row r="13" spans="1:12" s="687" customFormat="1" ht="7.5" customHeight="1" x14ac:dyDescent="0.35">
      <c r="A13" s="1433"/>
      <c r="B13" s="1439"/>
      <c r="C13" s="1439"/>
      <c r="D13" s="1439"/>
      <c r="E13" s="1439"/>
      <c r="F13" s="1439"/>
      <c r="G13" s="1439"/>
      <c r="H13" s="1439"/>
      <c r="I13" s="1433"/>
    </row>
    <row r="14" spans="1:12" s="687" customFormat="1" ht="29.5" customHeight="1" thickBot="1" x14ac:dyDescent="0.5">
      <c r="A14" s="1433"/>
      <c r="B14" s="1439"/>
      <c r="C14" s="1439"/>
      <c r="D14" s="1441" t="s">
        <v>18</v>
      </c>
      <c r="E14" s="1439"/>
      <c r="F14" s="1439"/>
      <c r="G14" s="1439"/>
      <c r="H14" s="1439"/>
      <c r="I14" s="1433"/>
    </row>
    <row r="15" spans="1:12" s="687" customFormat="1" ht="19.5" customHeight="1" x14ac:dyDescent="0.35">
      <c r="A15" s="1433"/>
      <c r="B15" s="1439"/>
      <c r="C15" s="1439"/>
      <c r="D15" s="1430" t="s">
        <v>19</v>
      </c>
      <c r="E15" s="1431" t="s">
        <v>20</v>
      </c>
      <c r="F15" s="1432" t="s">
        <v>21</v>
      </c>
      <c r="G15" s="1439"/>
      <c r="H15" s="1439"/>
      <c r="I15" s="1433"/>
    </row>
    <row r="16" spans="1:12" ht="43.5" x14ac:dyDescent="0.35">
      <c r="A16" s="1433"/>
      <c r="B16" s="1439"/>
      <c r="C16" s="1439"/>
      <c r="D16" s="1603" t="s">
        <v>22</v>
      </c>
      <c r="E16" s="1604" t="s">
        <v>23</v>
      </c>
      <c r="F16" s="1523" t="s">
        <v>24</v>
      </c>
      <c r="G16" s="1439"/>
      <c r="H16" s="1439"/>
      <c r="I16" s="1433"/>
      <c r="J16" s="87"/>
      <c r="K16" s="687"/>
      <c r="L16" s="687"/>
    </row>
    <row r="17" spans="1:10" s="687" customFormat="1" ht="43.5" x14ac:dyDescent="0.35">
      <c r="A17" s="1433"/>
      <c r="B17" s="1439"/>
      <c r="C17" s="1439"/>
      <c r="D17" s="1605" t="s">
        <v>25</v>
      </c>
      <c r="E17" s="1606" t="s">
        <v>23</v>
      </c>
      <c r="F17" s="1502" t="s">
        <v>26</v>
      </c>
      <c r="G17" s="1439"/>
      <c r="H17" s="1439"/>
      <c r="I17" s="1433"/>
      <c r="J17" s="87"/>
    </row>
    <row r="18" spans="1:10" ht="29" x14ac:dyDescent="0.35">
      <c r="A18" s="1433"/>
      <c r="B18" s="1439"/>
      <c r="C18" s="1439"/>
      <c r="D18" s="1607" t="s">
        <v>27</v>
      </c>
      <c r="E18" s="1608" t="s">
        <v>28</v>
      </c>
      <c r="F18" s="1523" t="s">
        <v>29</v>
      </c>
      <c r="G18" s="1439"/>
      <c r="H18" s="1439"/>
      <c r="I18" s="1433"/>
      <c r="J18" s="87"/>
    </row>
    <row r="19" spans="1:10" s="687" customFormat="1" ht="43.5" x14ac:dyDescent="0.35">
      <c r="A19" s="1433"/>
      <c r="B19" s="1439"/>
      <c r="C19" s="1439"/>
      <c r="D19" s="1609" t="s">
        <v>30</v>
      </c>
      <c r="E19" s="1608" t="s">
        <v>28</v>
      </c>
      <c r="F19" s="1502" t="s">
        <v>31</v>
      </c>
      <c r="G19" s="1439"/>
      <c r="H19" s="1439"/>
      <c r="I19" s="1433"/>
      <c r="J19" s="87"/>
    </row>
    <row r="20" spans="1:10" s="687" customFormat="1" x14ac:dyDescent="0.35">
      <c r="A20" s="1433"/>
      <c r="B20" s="1439"/>
      <c r="C20" s="1439"/>
      <c r="D20" s="1610" t="s">
        <v>32</v>
      </c>
      <c r="E20" s="1606" t="s">
        <v>33</v>
      </c>
      <c r="F20" s="1506" t="s">
        <v>34</v>
      </c>
      <c r="G20" s="1439"/>
      <c r="H20" s="1439"/>
      <c r="I20" s="1433"/>
      <c r="J20" s="87"/>
    </row>
    <row r="21" spans="1:10" s="687" customFormat="1" x14ac:dyDescent="0.35">
      <c r="A21" s="1433"/>
      <c r="B21" s="1439"/>
      <c r="C21" s="1439"/>
      <c r="D21" s="1611" t="s">
        <v>35</v>
      </c>
      <c r="E21" s="1606" t="s">
        <v>33</v>
      </c>
      <c r="F21" s="1506" t="s">
        <v>34</v>
      </c>
      <c r="G21" s="1439"/>
      <c r="H21" s="1439"/>
      <c r="I21" s="1433"/>
      <c r="J21" s="87"/>
    </row>
    <row r="22" spans="1:10" x14ac:dyDescent="0.35">
      <c r="A22" s="1433"/>
      <c r="B22" s="1439"/>
      <c r="C22" s="1439"/>
      <c r="D22" s="1612" t="s">
        <v>36</v>
      </c>
      <c r="E22" s="1613" t="s">
        <v>37</v>
      </c>
      <c r="F22" s="1506" t="s">
        <v>38</v>
      </c>
      <c r="G22" s="1439"/>
      <c r="H22" s="1439"/>
      <c r="I22" s="1433"/>
      <c r="J22" s="87"/>
    </row>
    <row r="23" spans="1:10" s="687" customFormat="1" x14ac:dyDescent="0.35">
      <c r="A23" s="1433"/>
      <c r="B23" s="1439"/>
      <c r="C23" s="1439"/>
      <c r="D23" s="1614" t="s">
        <v>39</v>
      </c>
      <c r="E23" s="1606" t="s">
        <v>40</v>
      </c>
      <c r="F23" s="1506" t="s">
        <v>38</v>
      </c>
      <c r="G23" s="1439"/>
      <c r="H23" s="1439"/>
      <c r="I23" s="1433"/>
      <c r="J23" s="87"/>
    </row>
    <row r="24" spans="1:10" ht="14.15" customHeight="1" x14ac:dyDescent="0.35">
      <c r="A24" s="1433"/>
      <c r="B24" s="1439"/>
      <c r="C24" s="1439"/>
      <c r="D24" s="1615" t="s">
        <v>41</v>
      </c>
      <c r="E24" s="1616" t="s">
        <v>42</v>
      </c>
      <c r="F24" s="1507" t="s">
        <v>38</v>
      </c>
      <c r="G24" s="1439"/>
      <c r="H24" s="1439"/>
      <c r="I24" s="1433"/>
      <c r="J24" s="87"/>
    </row>
    <row r="25" spans="1:10" s="687" customFormat="1" ht="21.65" customHeight="1" x14ac:dyDescent="0.35">
      <c r="A25" s="1433"/>
      <c r="B25" s="1439"/>
      <c r="C25" s="1439"/>
      <c r="D25" s="1443"/>
      <c r="E25" s="1444"/>
      <c r="F25" s="1444"/>
      <c r="G25" s="1439"/>
      <c r="H25" s="1439"/>
      <c r="I25" s="1433"/>
      <c r="J25" s="87"/>
    </row>
    <row r="26" spans="1:10" ht="25.5" customHeight="1" x14ac:dyDescent="0.35">
      <c r="A26" s="1433"/>
      <c r="B26" s="1433"/>
      <c r="C26" s="1433"/>
      <c r="D26" s="1433"/>
      <c r="E26" s="1433"/>
      <c r="F26" s="1433"/>
      <c r="G26" s="1433"/>
      <c r="H26" s="1433"/>
      <c r="I26" s="1433"/>
      <c r="J26" s="87"/>
    </row>
    <row r="27" spans="1:10" ht="23" thickBot="1" x14ac:dyDescent="0.5">
      <c r="A27" s="1433"/>
      <c r="B27" s="1458" t="s">
        <v>43</v>
      </c>
      <c r="C27" s="1459"/>
      <c r="D27" s="1461"/>
      <c r="E27" s="1459"/>
      <c r="F27" s="1439"/>
      <c r="G27" s="1439"/>
      <c r="H27" s="1439"/>
      <c r="I27" s="1433"/>
      <c r="J27" s="687"/>
    </row>
    <row r="28" spans="1:10" s="687" customFormat="1" ht="22" customHeight="1" thickBot="1" x14ac:dyDescent="0.5">
      <c r="B28" s="1439"/>
      <c r="C28" s="1449">
        <v>1</v>
      </c>
      <c r="D28" s="1447" t="s">
        <v>44</v>
      </c>
      <c r="E28" s="1439"/>
      <c r="F28" s="1439"/>
      <c r="G28" s="1439"/>
      <c r="H28" s="1439"/>
      <c r="I28" s="1433"/>
    </row>
    <row r="29" spans="1:10" s="687" customFormat="1" ht="15" thickBot="1" x14ac:dyDescent="0.4">
      <c r="A29" s="1433"/>
      <c r="B29" s="1456"/>
      <c r="C29" s="1456"/>
      <c r="D29" s="1448" t="s">
        <v>45</v>
      </c>
      <c r="E29" s="1448"/>
      <c r="F29" s="1439"/>
      <c r="G29" s="1439"/>
      <c r="H29" s="1439"/>
      <c r="I29" s="1433"/>
    </row>
    <row r="30" spans="1:10" s="687" customFormat="1" x14ac:dyDescent="0.35">
      <c r="A30" s="1433"/>
      <c r="B30" s="1456"/>
      <c r="C30" s="1456"/>
      <c r="D30" s="1377" t="s">
        <v>46</v>
      </c>
      <c r="E30" s="1378" t="s">
        <v>47</v>
      </c>
      <c r="F30" s="1439"/>
      <c r="G30" s="1439"/>
      <c r="H30" s="1439"/>
      <c r="I30" s="1433"/>
    </row>
    <row r="31" spans="1:10" s="687" customFormat="1" x14ac:dyDescent="0.35">
      <c r="A31" s="1433"/>
      <c r="B31" s="1456"/>
      <c r="C31" s="1456"/>
      <c r="D31" s="1468"/>
      <c r="E31" s="1469"/>
      <c r="F31" s="1439"/>
      <c r="G31" s="1439"/>
      <c r="H31" s="1439"/>
      <c r="I31" s="1433"/>
    </row>
    <row r="32" spans="1:10" s="687" customFormat="1" x14ac:dyDescent="0.35">
      <c r="A32" s="1433"/>
      <c r="B32" s="1456"/>
      <c r="C32" s="1456"/>
      <c r="D32" s="1379" t="s">
        <v>48</v>
      </c>
      <c r="E32" s="1380" t="s">
        <v>49</v>
      </c>
      <c r="F32" s="1439"/>
      <c r="G32" s="1439"/>
      <c r="H32" s="1439"/>
      <c r="I32" s="1433"/>
    </row>
    <row r="33" spans="1:9" s="687" customFormat="1" x14ac:dyDescent="0.35">
      <c r="A33" s="1433"/>
      <c r="B33" s="1456"/>
      <c r="C33" s="1456"/>
      <c r="D33" s="1379" t="s">
        <v>50</v>
      </c>
      <c r="E33" s="1380" t="s">
        <v>51</v>
      </c>
      <c r="F33" s="1439"/>
      <c r="G33" s="1439"/>
      <c r="H33" s="1439"/>
      <c r="I33" s="1433"/>
    </row>
    <row r="34" spans="1:9" s="687" customFormat="1" x14ac:dyDescent="0.35">
      <c r="A34" s="1433"/>
      <c r="B34" s="1456"/>
      <c r="C34" s="1456"/>
      <c r="D34" s="1468"/>
      <c r="E34" s="1469"/>
      <c r="F34" s="1439"/>
      <c r="G34" s="1439"/>
      <c r="H34" s="1439"/>
      <c r="I34" s="1433"/>
    </row>
    <row r="35" spans="1:9" s="687" customFormat="1" x14ac:dyDescent="0.35">
      <c r="A35" s="1433"/>
      <c r="B35" s="1456"/>
      <c r="C35" s="1456"/>
      <c r="D35" s="1379" t="s">
        <v>52</v>
      </c>
      <c r="E35" s="1380" t="s">
        <v>53</v>
      </c>
      <c r="F35" s="1439"/>
      <c r="G35" s="1439"/>
      <c r="H35" s="1439"/>
      <c r="I35" s="1433"/>
    </row>
    <row r="36" spans="1:9" s="687" customFormat="1" x14ac:dyDescent="0.35">
      <c r="A36" s="1433"/>
      <c r="B36" s="1456"/>
      <c r="C36" s="1456"/>
      <c r="D36" s="1379" t="s">
        <v>50</v>
      </c>
      <c r="E36" s="1380" t="s">
        <v>54</v>
      </c>
      <c r="F36" s="1439"/>
      <c r="G36" s="1439"/>
      <c r="H36" s="1439"/>
      <c r="I36" s="1433"/>
    </row>
    <row r="37" spans="1:9" s="687" customFormat="1" x14ac:dyDescent="0.35">
      <c r="A37" s="1433"/>
      <c r="B37" s="1456"/>
      <c r="C37" s="1456"/>
      <c r="D37" s="1468"/>
      <c r="E37" s="1469"/>
      <c r="F37" s="1439"/>
      <c r="G37" s="1439"/>
      <c r="H37" s="1439"/>
      <c r="I37" s="1433"/>
    </row>
    <row r="38" spans="1:9" s="687" customFormat="1" ht="15" thickBot="1" x14ac:dyDescent="0.4">
      <c r="A38" s="1433"/>
      <c r="B38" s="1456"/>
      <c r="C38" s="1456"/>
      <c r="D38" s="1224" t="s">
        <v>55</v>
      </c>
      <c r="E38" s="1381">
        <v>2020</v>
      </c>
      <c r="F38" s="1439"/>
      <c r="G38" s="1439"/>
      <c r="H38" s="1439"/>
      <c r="I38" s="1433"/>
    </row>
    <row r="39" spans="1:9" s="457" customFormat="1" ht="10" customHeight="1" thickBot="1" x14ac:dyDescent="0.5">
      <c r="A39" s="1437"/>
      <c r="B39" s="1457"/>
      <c r="C39" s="1457"/>
      <c r="D39" s="1446"/>
      <c r="E39" s="1445"/>
      <c r="F39" s="1445"/>
      <c r="G39" s="1445"/>
      <c r="H39" s="1445"/>
      <c r="I39" s="1437"/>
    </row>
    <row r="40" spans="1:9" ht="22" customHeight="1" thickBot="1" x14ac:dyDescent="0.4">
      <c r="A40" s="1433"/>
      <c r="B40" s="1439"/>
      <c r="C40" s="1450">
        <v>2</v>
      </c>
      <c r="D40" s="1720" t="s">
        <v>56</v>
      </c>
      <c r="E40" s="1721"/>
      <c r="F40" s="1721"/>
      <c r="G40" s="1721"/>
      <c r="H40" s="1439"/>
      <c r="I40" s="1433"/>
    </row>
    <row r="41" spans="1:9" s="687" customFormat="1" ht="22" customHeight="1" x14ac:dyDescent="0.35">
      <c r="A41" s="1433"/>
      <c r="B41" s="1439"/>
      <c r="C41" s="1686"/>
      <c r="D41" s="1642" t="s">
        <v>57</v>
      </c>
      <c r="E41" s="1686"/>
      <c r="F41" s="1686"/>
      <c r="G41" s="1686"/>
      <c r="H41" s="1439"/>
      <c r="I41" s="1433"/>
    </row>
    <row r="42" spans="1:9" s="457" customFormat="1" ht="10" customHeight="1" thickBot="1" x14ac:dyDescent="0.5">
      <c r="A42" s="1437"/>
      <c r="B42" s="1445"/>
      <c r="C42" s="1451"/>
      <c r="D42" s="1473"/>
      <c r="E42" s="1445"/>
      <c r="F42" s="1445"/>
      <c r="G42" s="1445"/>
      <c r="H42" s="1445"/>
      <c r="I42" s="1437"/>
    </row>
    <row r="43" spans="1:9" ht="22" customHeight="1" thickBot="1" x14ac:dyDescent="0.4">
      <c r="A43" s="1433"/>
      <c r="B43" s="1439"/>
      <c r="C43" s="1452">
        <v>3</v>
      </c>
      <c r="D43" s="1472" t="s">
        <v>58</v>
      </c>
      <c r="E43" s="1439"/>
      <c r="F43" s="1439"/>
      <c r="G43" s="1439"/>
      <c r="H43" s="1439"/>
      <c r="I43" s="1433"/>
    </row>
    <row r="44" spans="1:9" s="457" customFormat="1" ht="10" customHeight="1" thickBot="1" x14ac:dyDescent="0.5">
      <c r="A44" s="1437"/>
      <c r="B44" s="1445"/>
      <c r="C44" s="1451"/>
      <c r="D44" s="1473"/>
      <c r="E44" s="1445"/>
      <c r="F44" s="1445"/>
      <c r="G44" s="1445"/>
      <c r="H44" s="1445"/>
      <c r="I44" s="1437"/>
    </row>
    <row r="45" spans="1:9" ht="22" customHeight="1" thickBot="1" x14ac:dyDescent="0.4">
      <c r="A45" s="1433"/>
      <c r="B45" s="1439"/>
      <c r="C45" s="1453">
        <v>4</v>
      </c>
      <c r="D45" s="1472" t="s">
        <v>59</v>
      </c>
      <c r="E45" s="1439"/>
      <c r="F45" s="1439"/>
      <c r="G45" s="1439"/>
      <c r="H45" s="1439"/>
      <c r="I45" s="1433"/>
    </row>
    <row r="46" spans="1:9" s="457" customFormat="1" ht="10" customHeight="1" thickBot="1" x14ac:dyDescent="0.5">
      <c r="A46" s="1437"/>
      <c r="B46" s="1445"/>
      <c r="C46" s="1451"/>
      <c r="D46" s="1473"/>
      <c r="E46" s="1445"/>
      <c r="F46" s="1445"/>
      <c r="G46" s="1445"/>
      <c r="H46" s="1445"/>
      <c r="I46" s="1437"/>
    </row>
    <row r="47" spans="1:9" ht="22" customHeight="1" thickBot="1" x14ac:dyDescent="0.4">
      <c r="A47" s="1433"/>
      <c r="B47" s="1439"/>
      <c r="C47" s="1454">
        <v>5</v>
      </c>
      <c r="D47" s="1472" t="s">
        <v>60</v>
      </c>
      <c r="E47" s="1439"/>
      <c r="F47" s="1439"/>
      <c r="G47" s="1439"/>
      <c r="H47" s="1439"/>
      <c r="I47" s="1433"/>
    </row>
    <row r="48" spans="1:9" s="457" customFormat="1" ht="10" customHeight="1" thickBot="1" x14ac:dyDescent="0.5">
      <c r="A48" s="1437"/>
      <c r="B48" s="1445"/>
      <c r="C48" s="1451"/>
      <c r="D48" s="1473"/>
      <c r="E48" s="1445"/>
      <c r="F48" s="1445"/>
      <c r="G48" s="1445"/>
      <c r="H48" s="1445"/>
      <c r="I48" s="1437"/>
    </row>
    <row r="49" spans="1:11" ht="22" customHeight="1" thickBot="1" x14ac:dyDescent="0.4">
      <c r="A49" s="1433"/>
      <c r="B49" s="1439"/>
      <c r="C49" s="1455">
        <v>6</v>
      </c>
      <c r="D49" s="1472" t="s">
        <v>61</v>
      </c>
      <c r="E49" s="1439"/>
      <c r="F49" s="1439"/>
      <c r="G49" s="1439"/>
      <c r="H49" s="1439"/>
      <c r="I49" s="1433"/>
      <c r="J49" s="687"/>
      <c r="K49" s="687"/>
    </row>
    <row r="50" spans="1:11" x14ac:dyDescent="0.35">
      <c r="A50" s="1433"/>
      <c r="B50" s="1439"/>
      <c r="C50" s="1439"/>
      <c r="D50" s="1439"/>
      <c r="E50" s="1439"/>
      <c r="F50" s="1439"/>
      <c r="G50" s="1439"/>
      <c r="H50" s="1439"/>
      <c r="I50" s="1433"/>
      <c r="J50" s="687"/>
      <c r="K50" s="687"/>
    </row>
    <row r="51" spans="1:11" s="687" customFormat="1" ht="25.5" customHeight="1" x14ac:dyDescent="0.35">
      <c r="A51" s="1433"/>
      <c r="B51" s="1433"/>
      <c r="C51" s="1433"/>
      <c r="D51" s="1433"/>
      <c r="E51" s="1433"/>
      <c r="F51" s="1433"/>
      <c r="G51" s="1433"/>
      <c r="H51" s="1433"/>
      <c r="I51" s="1438"/>
      <c r="J51" s="1426"/>
      <c r="K51" s="1426"/>
    </row>
    <row r="52" spans="1:11" s="687" customFormat="1" ht="22.5" x14ac:dyDescent="0.45">
      <c r="A52" s="1433"/>
      <c r="B52" s="1458" t="s">
        <v>62</v>
      </c>
      <c r="C52" s="1459"/>
      <c r="D52" s="1459"/>
      <c r="E52" s="1460"/>
      <c r="F52" s="1459"/>
      <c r="G52" s="1459"/>
      <c r="H52" s="1459"/>
      <c r="I52" s="1438"/>
      <c r="J52" s="1426"/>
      <c r="K52" s="1426"/>
    </row>
    <row r="53" spans="1:11" s="695" customFormat="1" ht="19" customHeight="1" x14ac:dyDescent="0.35">
      <c r="A53" s="1542"/>
      <c r="B53" s="1543"/>
      <c r="C53" s="1543"/>
      <c r="D53" s="1716" t="s">
        <v>63</v>
      </c>
      <c r="E53" s="1717"/>
      <c r="F53" s="1717"/>
      <c r="G53" s="1718"/>
      <c r="H53" s="1543"/>
      <c r="I53" s="1684"/>
      <c r="J53" s="1685"/>
      <c r="K53" s="1685"/>
    </row>
    <row r="54" spans="1:11" s="695" customFormat="1" ht="21.65" customHeight="1" x14ac:dyDescent="0.35">
      <c r="A54" s="1542"/>
      <c r="B54" s="1543"/>
      <c r="C54" s="1543"/>
      <c r="D54" s="1716" t="s">
        <v>64</v>
      </c>
      <c r="E54" s="1717"/>
      <c r="F54" s="1717"/>
      <c r="G54" s="1718"/>
      <c r="H54" s="1543"/>
      <c r="I54" s="1684"/>
      <c r="J54" s="1685"/>
      <c r="K54" s="1685"/>
    </row>
    <row r="55" spans="1:11" s="695" customFormat="1" ht="51" customHeight="1" x14ac:dyDescent="0.35">
      <c r="A55" s="1542"/>
      <c r="B55" s="1543"/>
      <c r="C55" s="1543"/>
      <c r="D55" s="1716" t="s">
        <v>65</v>
      </c>
      <c r="E55" s="1717"/>
      <c r="F55" s="1717"/>
      <c r="G55" s="1718"/>
      <c r="H55" s="1543"/>
      <c r="I55" s="1684"/>
      <c r="J55" s="1685"/>
      <c r="K55" s="1685"/>
    </row>
    <row r="56" spans="1:11" s="695" customFormat="1" ht="17.5" customHeight="1" x14ac:dyDescent="0.35">
      <c r="A56" s="1542"/>
      <c r="B56" s="1543"/>
      <c r="C56" s="1543"/>
      <c r="D56" s="1716" t="s">
        <v>66</v>
      </c>
      <c r="E56" s="1717"/>
      <c r="F56" s="1717"/>
      <c r="G56" s="1718"/>
      <c r="H56" s="1543"/>
      <c r="I56" s="1684"/>
      <c r="J56" s="1685"/>
      <c r="K56" s="1685"/>
    </row>
    <row r="57" spans="1:11" s="695" customFormat="1" ht="37.5" customHeight="1" x14ac:dyDescent="0.35">
      <c r="A57" s="1542"/>
      <c r="B57" s="1543"/>
      <c r="C57" s="1543"/>
      <c r="D57" s="1716" t="s">
        <v>67</v>
      </c>
      <c r="E57" s="1717"/>
      <c r="F57" s="1717"/>
      <c r="G57" s="1718"/>
      <c r="H57" s="1543"/>
      <c r="I57" s="1684"/>
      <c r="J57" s="1685"/>
      <c r="K57" s="1685"/>
    </row>
    <row r="58" spans="1:11" s="695" customFormat="1" ht="20.5" customHeight="1" x14ac:dyDescent="0.35">
      <c r="A58" s="1542"/>
      <c r="B58" s="1543"/>
      <c r="C58" s="1543"/>
      <c r="D58" s="1716" t="s">
        <v>68</v>
      </c>
      <c r="E58" s="1717"/>
      <c r="F58" s="1717"/>
      <c r="G58" s="1718"/>
      <c r="H58" s="1543"/>
      <c r="I58" s="1684"/>
      <c r="J58" s="1685"/>
      <c r="K58" s="1685"/>
    </row>
    <row r="59" spans="1:11" s="695" customFormat="1" ht="18.649999999999999" customHeight="1" x14ac:dyDescent="0.35">
      <c r="A59" s="1542"/>
      <c r="B59" s="1543"/>
      <c r="C59" s="1543"/>
      <c r="D59" s="1716" t="s">
        <v>69</v>
      </c>
      <c r="E59" s="1717"/>
      <c r="F59" s="1717"/>
      <c r="G59" s="1718"/>
      <c r="H59" s="1543"/>
      <c r="I59" s="1684"/>
      <c r="J59" s="1685"/>
      <c r="K59" s="1685"/>
    </row>
    <row r="60" spans="1:11" s="695" customFormat="1" ht="20.5" customHeight="1" x14ac:dyDescent="0.35">
      <c r="A60" s="1542"/>
      <c r="B60" s="1543"/>
      <c r="C60" s="1543"/>
      <c r="D60" s="1716" t="s">
        <v>70</v>
      </c>
      <c r="E60" s="1717"/>
      <c r="F60" s="1717"/>
      <c r="G60" s="1718"/>
      <c r="H60" s="1543"/>
      <c r="I60" s="1684"/>
      <c r="J60" s="1685"/>
      <c r="K60" s="1685"/>
    </row>
    <row r="61" spans="1:11" s="695" customFormat="1" ht="35.15" customHeight="1" x14ac:dyDescent="0.35">
      <c r="A61" s="1542"/>
      <c r="B61" s="1543"/>
      <c r="C61" s="1543"/>
      <c r="D61" s="1716" t="s">
        <v>71</v>
      </c>
      <c r="E61" s="1717"/>
      <c r="F61" s="1717"/>
      <c r="G61" s="1718"/>
      <c r="H61" s="1543"/>
      <c r="I61" s="1684"/>
      <c r="J61" s="1685"/>
      <c r="K61" s="1685"/>
    </row>
    <row r="62" spans="1:11" s="687" customFormat="1" ht="18.5" x14ac:dyDescent="0.45">
      <c r="A62" s="1433"/>
      <c r="B62" s="1439"/>
      <c r="C62" s="1439"/>
      <c r="D62" s="1441"/>
      <c r="E62" s="1439"/>
      <c r="F62" s="1439"/>
      <c r="G62" s="1439"/>
      <c r="H62" s="1439"/>
      <c r="I62" s="1438"/>
      <c r="J62" s="1426"/>
      <c r="K62" s="1426"/>
    </row>
    <row r="63" spans="1:11" s="687" customFormat="1" x14ac:dyDescent="0.35">
      <c r="A63" s="1433"/>
      <c r="B63" s="1433"/>
      <c r="C63" s="1433"/>
      <c r="D63" s="1433"/>
      <c r="E63" s="1433"/>
      <c r="F63" s="1433"/>
      <c r="G63" s="1433"/>
      <c r="H63" s="1433"/>
      <c r="I63" s="1438"/>
      <c r="J63" s="1426"/>
      <c r="K63" s="1426"/>
    </row>
    <row r="64" spans="1:11" s="687" customFormat="1" x14ac:dyDescent="0.35">
      <c r="A64" s="1433"/>
      <c r="B64" s="1433"/>
      <c r="C64" s="1433"/>
      <c r="D64" s="1433"/>
      <c r="E64" s="1433"/>
      <c r="F64" s="1433"/>
      <c r="G64" s="1433"/>
      <c r="H64" s="1433"/>
      <c r="I64" s="1438"/>
      <c r="J64" s="1426"/>
      <c r="K64" s="1426"/>
    </row>
    <row r="65" spans="1:11" s="687" customFormat="1" x14ac:dyDescent="0.35">
      <c r="A65" s="1433"/>
      <c r="B65" s="1433"/>
      <c r="C65" s="1433"/>
      <c r="D65" s="1433"/>
      <c r="E65" s="1433"/>
      <c r="F65" s="1433"/>
      <c r="G65" s="1433"/>
      <c r="H65" s="1433"/>
      <c r="I65" s="1438"/>
      <c r="J65" s="1426"/>
      <c r="K65" s="1426"/>
    </row>
    <row r="66" spans="1:11" s="687" customFormat="1" ht="16" thickBot="1" x14ac:dyDescent="0.4">
      <c r="A66" s="1433"/>
      <c r="B66" s="1466"/>
      <c r="C66" s="1467"/>
      <c r="D66" s="1467"/>
      <c r="E66" s="1467"/>
      <c r="F66" s="1467"/>
      <c r="G66" s="1467"/>
      <c r="H66" s="1539" t="s">
        <v>72</v>
      </c>
      <c r="I66" s="1438"/>
      <c r="J66" s="1426"/>
      <c r="K66" s="1426"/>
    </row>
    <row r="67" spans="1:11" s="687" customFormat="1" ht="15" thickTop="1" x14ac:dyDescent="0.35">
      <c r="A67" s="1433"/>
      <c r="B67" s="1433"/>
      <c r="C67" s="1433"/>
      <c r="D67" s="1433"/>
      <c r="E67" s="1433"/>
      <c r="F67" s="1433"/>
      <c r="G67" s="1433"/>
      <c r="H67" s="1433"/>
      <c r="I67" s="1438"/>
      <c r="J67" s="1426"/>
      <c r="K67" s="1426"/>
    </row>
    <row r="68" spans="1:11" s="687" customFormat="1" x14ac:dyDescent="0.35">
      <c r="I68" s="817"/>
      <c r="J68" s="1426"/>
      <c r="K68" s="1426"/>
    </row>
    <row r="69" spans="1:11" s="687" customFormat="1" x14ac:dyDescent="0.35">
      <c r="I69" s="817"/>
      <c r="J69" s="1426"/>
      <c r="K69" s="1426"/>
    </row>
    <row r="70" spans="1:11" s="687" customFormat="1" x14ac:dyDescent="0.35">
      <c r="I70" s="817"/>
      <c r="J70" s="1426"/>
      <c r="K70" s="1426"/>
    </row>
    <row r="71" spans="1:11" s="687" customFormat="1" x14ac:dyDescent="0.35">
      <c r="I71" s="817"/>
      <c r="J71" s="1426"/>
      <c r="K71" s="1426"/>
    </row>
    <row r="72" spans="1:11" s="687" customFormat="1" x14ac:dyDescent="0.35">
      <c r="I72" s="817"/>
      <c r="J72" s="1426"/>
      <c r="K72" s="1426"/>
    </row>
    <row r="73" spans="1:11" ht="18.5" x14ac:dyDescent="0.45">
      <c r="A73" s="687"/>
      <c r="D73" s="1252"/>
      <c r="E73" s="687"/>
      <c r="F73" s="687"/>
      <c r="G73" s="687"/>
      <c r="H73" s="687"/>
      <c r="I73" s="687"/>
      <c r="J73" s="687"/>
      <c r="K73" s="687"/>
    </row>
    <row r="74" spans="1:11" x14ac:dyDescent="0.35">
      <c r="A74" s="687"/>
      <c r="D74" s="1682"/>
      <c r="E74" s="87"/>
      <c r="F74" s="87"/>
      <c r="G74" s="87"/>
      <c r="H74" s="87"/>
      <c r="I74" s="687"/>
      <c r="J74" s="687"/>
      <c r="K74" s="687"/>
    </row>
    <row r="75" spans="1:11" x14ac:dyDescent="0.35">
      <c r="A75" s="687"/>
      <c r="D75" s="1683"/>
      <c r="E75" s="1683"/>
      <c r="F75" s="1683"/>
      <c r="G75" s="1683"/>
      <c r="H75" s="87"/>
      <c r="I75" s="687"/>
      <c r="J75" s="687"/>
      <c r="K75" s="687"/>
    </row>
    <row r="76" spans="1:11" x14ac:dyDescent="0.35">
      <c r="A76" s="687"/>
      <c r="D76" s="1682"/>
      <c r="E76" s="87"/>
      <c r="F76" s="87"/>
      <c r="G76" s="87"/>
      <c r="H76" s="87"/>
      <c r="I76" s="687"/>
      <c r="J76" s="687"/>
      <c r="K76" s="687"/>
    </row>
    <row r="78" spans="1:11" x14ac:dyDescent="0.35">
      <c r="A78" s="687"/>
      <c r="D78" s="1683"/>
      <c r="E78" s="1683"/>
      <c r="F78" s="1683"/>
      <c r="G78" s="1683"/>
      <c r="H78" s="689"/>
      <c r="I78" s="689"/>
      <c r="J78" s="687"/>
      <c r="K78" s="687"/>
    </row>
    <row r="79" spans="1:11" x14ac:dyDescent="0.35">
      <c r="A79" s="687"/>
      <c r="D79" s="689"/>
      <c r="E79" s="689"/>
      <c r="F79" s="689"/>
      <c r="G79" s="689"/>
      <c r="H79" s="689"/>
      <c r="I79" s="689"/>
      <c r="J79" s="687"/>
      <c r="K79" s="687"/>
    </row>
  </sheetData>
  <sheetProtection selectLockedCells="1" selectUnlockedCells="1"/>
  <mergeCells count="11">
    <mergeCell ref="D61:G61"/>
    <mergeCell ref="B3:F4"/>
    <mergeCell ref="D40:G40"/>
    <mergeCell ref="D53:G53"/>
    <mergeCell ref="D54:G54"/>
    <mergeCell ref="D55:G55"/>
    <mergeCell ref="D56:G56"/>
    <mergeCell ref="D57:G57"/>
    <mergeCell ref="D58:G58"/>
    <mergeCell ref="D59:G59"/>
    <mergeCell ref="D60:G6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70C0"/>
    <pageSetUpPr fitToPage="1"/>
  </sheetPr>
  <dimension ref="A1:T104"/>
  <sheetViews>
    <sheetView zoomScale="85" zoomScaleNormal="85" workbookViewId="0">
      <selection activeCell="A81" sqref="A81:XFD81"/>
    </sheetView>
  </sheetViews>
  <sheetFormatPr defaultColWidth="8.81640625" defaultRowHeight="14.5" x14ac:dyDescent="0.35"/>
  <cols>
    <col min="1" max="1" width="5" style="687" customWidth="1"/>
    <col min="2" max="2" width="15.81640625" customWidth="1"/>
    <col min="3" max="3" width="12.1796875" customWidth="1"/>
    <col min="4" max="4" width="12.26953125" customWidth="1"/>
    <col min="5" max="5" width="8.7265625" customWidth="1"/>
    <col min="6" max="6" width="13.453125" customWidth="1"/>
    <col min="7" max="8" width="12.26953125" customWidth="1"/>
    <col min="9" max="9" width="8.7265625" customWidth="1"/>
    <col min="10" max="10" width="13.54296875" customWidth="1"/>
    <col min="11" max="12" width="12.26953125" customWidth="1"/>
    <col min="13" max="13" width="8.7265625" customWidth="1"/>
    <col min="14" max="14" width="13.54296875" customWidth="1"/>
    <col min="15" max="16" width="12.1796875" customWidth="1"/>
    <col min="17" max="17" width="8.7265625" customWidth="1"/>
    <col min="18" max="18" width="11" bestFit="1" customWidth="1"/>
    <col min="19" max="19" width="10.7265625" bestFit="1" customWidth="1"/>
  </cols>
  <sheetData>
    <row r="1" spans="1:20" s="72" customFormat="1" ht="21.5" thickBot="1" x14ac:dyDescent="0.55000000000000004">
      <c r="A1" s="1833" t="s">
        <v>135</v>
      </c>
      <c r="B1" s="1834"/>
      <c r="C1" s="1834"/>
      <c r="D1" s="1834"/>
      <c r="E1" s="1834"/>
      <c r="F1" s="1834"/>
      <c r="G1" s="1834"/>
      <c r="H1" s="1834"/>
      <c r="I1" s="1834"/>
      <c r="J1" s="1834"/>
      <c r="K1" s="1834"/>
      <c r="L1" s="1834"/>
      <c r="M1" s="1834"/>
      <c r="N1" s="1834"/>
      <c r="O1" s="1834"/>
      <c r="P1" s="1834"/>
      <c r="Q1" s="1835"/>
    </row>
    <row r="2" spans="1:20" x14ac:dyDescent="0.35">
      <c r="B2" s="44"/>
      <c r="C2" s="44"/>
      <c r="D2" s="44"/>
      <c r="E2" s="44"/>
      <c r="F2" s="44"/>
      <c r="G2" s="44"/>
      <c r="H2" s="44"/>
      <c r="I2" s="44"/>
      <c r="J2" s="1550" t="s">
        <v>264</v>
      </c>
      <c r="K2" s="687"/>
      <c r="L2" s="44"/>
      <c r="M2" s="44"/>
      <c r="N2" s="44"/>
      <c r="O2" s="44"/>
      <c r="P2" s="44"/>
      <c r="Q2" s="44"/>
      <c r="R2" s="44"/>
      <c r="S2" s="687"/>
      <c r="T2" s="687"/>
    </row>
    <row r="3" spans="1:20" x14ac:dyDescent="0.35">
      <c r="B3" s="1558" t="s">
        <v>265</v>
      </c>
      <c r="C3" s="1617" t="s">
        <v>432</v>
      </c>
      <c r="D3" s="1553"/>
      <c r="E3" s="1553"/>
      <c r="F3" s="250"/>
      <c r="G3" s="250"/>
      <c r="H3" s="250"/>
      <c r="I3" s="250"/>
      <c r="J3" s="1840" t="s">
        <v>506</v>
      </c>
      <c r="K3" s="1840"/>
      <c r="L3" s="1840"/>
      <c r="M3" s="1840"/>
      <c r="N3" s="1840"/>
      <c r="O3" s="1840"/>
      <c r="P3" s="1840"/>
      <c r="Q3" s="1840"/>
      <c r="R3" s="44"/>
      <c r="S3" s="687"/>
      <c r="T3" s="687"/>
    </row>
    <row r="4" spans="1:20" x14ac:dyDescent="0.35">
      <c r="B4" s="1667" t="s">
        <v>268</v>
      </c>
      <c r="C4" s="44"/>
      <c r="D4" s="44"/>
      <c r="E4" s="44"/>
      <c r="F4" s="44"/>
      <c r="G4" s="44"/>
      <c r="H4" s="44"/>
      <c r="I4" s="44"/>
      <c r="J4" s="1840"/>
      <c r="K4" s="1840"/>
      <c r="L4" s="1840"/>
      <c r="M4" s="1840"/>
      <c r="N4" s="1840"/>
      <c r="O4" s="1840"/>
      <c r="P4" s="1840"/>
      <c r="Q4" s="1840"/>
      <c r="R4" s="44"/>
      <c r="S4" s="687"/>
      <c r="T4" s="687"/>
    </row>
    <row r="5" spans="1:20" s="87" customFormat="1" x14ac:dyDescent="0.35">
      <c r="B5" s="330"/>
      <c r="C5" s="166"/>
      <c r="D5" s="166"/>
      <c r="E5" s="166"/>
      <c r="F5" s="166"/>
      <c r="G5" s="166"/>
      <c r="H5" s="166"/>
      <c r="I5" s="166"/>
      <c r="J5" s="1840"/>
      <c r="K5" s="1840"/>
      <c r="L5" s="1840"/>
      <c r="M5" s="1840"/>
      <c r="N5" s="1840"/>
      <c r="O5" s="1840"/>
      <c r="P5" s="1840"/>
      <c r="Q5" s="1840"/>
      <c r="R5" s="166"/>
      <c r="S5" s="166"/>
      <c r="T5" s="166"/>
    </row>
    <row r="6" spans="1:20" s="87" customFormat="1" ht="15.5" x14ac:dyDescent="0.35">
      <c r="A6" s="842" t="str">
        <f>(brewery1_name&amp;" Natural Gas Data "&amp;ghg_year)</f>
        <v>Main Brewery Natural Gas Data 2020</v>
      </c>
      <c r="B6" s="282"/>
      <c r="C6" s="281"/>
      <c r="D6" s="283"/>
      <c r="E6" s="282"/>
      <c r="F6" s="166"/>
      <c r="G6" s="166"/>
      <c r="H6" s="166"/>
      <c r="I6" s="166"/>
      <c r="J6" s="166"/>
      <c r="K6" s="166"/>
      <c r="L6" s="164"/>
      <c r="M6" s="164"/>
      <c r="N6" s="164"/>
      <c r="O6" s="164"/>
      <c r="P6" s="164"/>
      <c r="Q6" s="166"/>
      <c r="R6" s="166"/>
      <c r="S6" s="166"/>
      <c r="T6" s="166"/>
    </row>
    <row r="7" spans="1:20" x14ac:dyDescent="0.35">
      <c r="B7" s="759" t="str">
        <f>(brew1_abb&amp;" Natural Gas Usage - Meter 1")</f>
        <v>MAIN Natural Gas Usage - Meter 1</v>
      </c>
      <c r="C7" s="760"/>
      <c r="D7" s="1386"/>
      <c r="E7" s="761"/>
      <c r="F7" s="762" t="str">
        <f>(brew1_abb&amp;" Natural Gas Usage - Meter 2")</f>
        <v>MAIN Natural Gas Usage - Meter 2</v>
      </c>
      <c r="G7" s="760"/>
      <c r="H7" s="1386"/>
      <c r="I7" s="761"/>
      <c r="J7" s="762" t="str">
        <f>(brew1_abb&amp;" Natural Gas Usage - Meter 3")</f>
        <v>MAIN Natural Gas Usage - Meter 3</v>
      </c>
      <c r="K7" s="760"/>
      <c r="L7" s="1386"/>
      <c r="M7" s="763"/>
      <c r="N7" s="762" t="str">
        <f>(brew1_abb&amp;" Natural Gas Usage - Meter 4")</f>
        <v>MAIN Natural Gas Usage - Meter 4</v>
      </c>
      <c r="O7" s="760"/>
      <c r="P7" s="760"/>
      <c r="Q7" s="764"/>
      <c r="R7" s="687"/>
      <c r="S7" s="687"/>
      <c r="T7" s="687"/>
    </row>
    <row r="8" spans="1:20" x14ac:dyDescent="0.35">
      <c r="B8" s="765" t="s">
        <v>435</v>
      </c>
      <c r="C8" s="202" t="s">
        <v>507</v>
      </c>
      <c r="D8" s="202" t="s">
        <v>508</v>
      </c>
      <c r="E8" s="326"/>
      <c r="F8" s="203" t="s">
        <v>435</v>
      </c>
      <c r="G8" s="202" t="s">
        <v>507</v>
      </c>
      <c r="H8" s="202" t="s">
        <v>508</v>
      </c>
      <c r="I8" s="326"/>
      <c r="J8" s="203" t="s">
        <v>435</v>
      </c>
      <c r="K8" s="202" t="s">
        <v>507</v>
      </c>
      <c r="L8" s="202" t="s">
        <v>508</v>
      </c>
      <c r="M8" s="689"/>
      <c r="N8" s="203" t="s">
        <v>435</v>
      </c>
      <c r="O8" s="202" t="s">
        <v>507</v>
      </c>
      <c r="P8" s="202" t="s">
        <v>508</v>
      </c>
      <c r="Q8" s="141"/>
      <c r="R8" s="687"/>
      <c r="S8" s="687"/>
      <c r="T8" s="687"/>
    </row>
    <row r="9" spans="1:20" x14ac:dyDescent="0.35">
      <c r="B9" s="777" t="s">
        <v>443</v>
      </c>
      <c r="C9" s="757">
        <v>8800</v>
      </c>
      <c r="D9" s="1387" t="s">
        <v>176</v>
      </c>
      <c r="E9" s="787"/>
      <c r="F9" s="756" t="str">
        <f t="shared" ref="F9:F20" si="0">B9</f>
        <v>January</v>
      </c>
      <c r="G9" s="757">
        <v>8000</v>
      </c>
      <c r="H9" s="1389" t="s">
        <v>176</v>
      </c>
      <c r="I9" s="778"/>
      <c r="J9" s="756" t="str">
        <f t="shared" ref="J9:J20" si="1">B9</f>
        <v>January</v>
      </c>
      <c r="K9" s="757">
        <v>4000</v>
      </c>
      <c r="L9" s="1389" t="s">
        <v>176</v>
      </c>
      <c r="M9" s="1715"/>
      <c r="N9" s="756" t="str">
        <f t="shared" ref="N9:N20" si="2">B9</f>
        <v>January</v>
      </c>
      <c r="O9" s="757">
        <v>3000</v>
      </c>
      <c r="P9" s="1416" t="s">
        <v>176</v>
      </c>
      <c r="Q9" s="141"/>
      <c r="R9" s="687"/>
      <c r="S9" s="687"/>
      <c r="T9" s="687"/>
    </row>
    <row r="10" spans="1:20" x14ac:dyDescent="0.35">
      <c r="B10" s="777" t="s">
        <v>444</v>
      </c>
      <c r="C10" s="757">
        <v>8400</v>
      </c>
      <c r="D10" s="1387" t="s">
        <v>176</v>
      </c>
      <c r="E10" s="787"/>
      <c r="F10" s="756" t="str">
        <f t="shared" si="0"/>
        <v>February</v>
      </c>
      <c r="G10" s="757">
        <v>7000</v>
      </c>
      <c r="H10" s="1389" t="s">
        <v>176</v>
      </c>
      <c r="I10" s="778"/>
      <c r="J10" s="756" t="str">
        <f t="shared" si="1"/>
        <v>February</v>
      </c>
      <c r="K10" s="757">
        <v>3000</v>
      </c>
      <c r="L10" s="1389" t="s">
        <v>176</v>
      </c>
      <c r="M10" s="1715"/>
      <c r="N10" s="756" t="str">
        <f t="shared" si="2"/>
        <v>February</v>
      </c>
      <c r="O10" s="757">
        <v>2000</v>
      </c>
      <c r="P10" s="1389" t="s">
        <v>176</v>
      </c>
      <c r="Q10" s="141"/>
      <c r="R10" s="687"/>
      <c r="S10" s="687"/>
      <c r="T10" s="687"/>
    </row>
    <row r="11" spans="1:20" x14ac:dyDescent="0.35">
      <c r="B11" s="777" t="s">
        <v>445</v>
      </c>
      <c r="C11" s="757">
        <v>8000</v>
      </c>
      <c r="D11" s="1387" t="s">
        <v>176</v>
      </c>
      <c r="E11" s="787"/>
      <c r="F11" s="756" t="str">
        <f t="shared" si="0"/>
        <v>March</v>
      </c>
      <c r="G11" s="757">
        <v>5000</v>
      </c>
      <c r="H11" s="1389" t="s">
        <v>176</v>
      </c>
      <c r="I11" s="778"/>
      <c r="J11" s="756" t="str">
        <f t="shared" si="1"/>
        <v>March</v>
      </c>
      <c r="K11" s="757">
        <v>2500</v>
      </c>
      <c r="L11" s="1389" t="s">
        <v>176</v>
      </c>
      <c r="M11" s="1715"/>
      <c r="N11" s="756" t="str">
        <f t="shared" si="2"/>
        <v>March</v>
      </c>
      <c r="O11" s="757">
        <v>750</v>
      </c>
      <c r="P11" s="1389" t="s">
        <v>176</v>
      </c>
      <c r="Q11" s="141"/>
      <c r="R11" s="687"/>
      <c r="S11" s="687"/>
      <c r="T11" s="687"/>
    </row>
    <row r="12" spans="1:20" x14ac:dyDescent="0.35">
      <c r="B12" s="777" t="s">
        <v>446</v>
      </c>
      <c r="C12" s="757">
        <v>7200</v>
      </c>
      <c r="D12" s="1387" t="s">
        <v>176</v>
      </c>
      <c r="E12" s="787"/>
      <c r="F12" s="756" t="str">
        <f t="shared" si="0"/>
        <v>April</v>
      </c>
      <c r="G12" s="757">
        <v>6000</v>
      </c>
      <c r="H12" s="1389" t="s">
        <v>176</v>
      </c>
      <c r="I12" s="778"/>
      <c r="J12" s="756" t="str">
        <f t="shared" si="1"/>
        <v>April</v>
      </c>
      <c r="K12" s="757">
        <v>3000</v>
      </c>
      <c r="L12" s="1389" t="s">
        <v>176</v>
      </c>
      <c r="M12" s="1715"/>
      <c r="N12" s="756" t="str">
        <f t="shared" si="2"/>
        <v>April</v>
      </c>
      <c r="O12" s="757">
        <v>750</v>
      </c>
      <c r="P12" s="1389" t="s">
        <v>176</v>
      </c>
      <c r="Q12" s="141"/>
      <c r="R12" s="687"/>
      <c r="S12" s="687"/>
      <c r="T12" s="687"/>
    </row>
    <row r="13" spans="1:20" x14ac:dyDescent="0.35">
      <c r="B13" s="777" t="s">
        <v>447</v>
      </c>
      <c r="C13" s="757">
        <v>7700</v>
      </c>
      <c r="D13" s="1387" t="s">
        <v>176</v>
      </c>
      <c r="E13" s="787"/>
      <c r="F13" s="756" t="str">
        <f t="shared" si="0"/>
        <v>May</v>
      </c>
      <c r="G13" s="757">
        <v>5000</v>
      </c>
      <c r="H13" s="1389" t="s">
        <v>176</v>
      </c>
      <c r="I13" s="778"/>
      <c r="J13" s="756" t="str">
        <f t="shared" si="1"/>
        <v>May</v>
      </c>
      <c r="K13" s="757">
        <v>2500</v>
      </c>
      <c r="L13" s="1389" t="s">
        <v>176</v>
      </c>
      <c r="M13" s="1715"/>
      <c r="N13" s="756" t="str">
        <f t="shared" si="2"/>
        <v>May</v>
      </c>
      <c r="O13" s="757">
        <v>500</v>
      </c>
      <c r="P13" s="1389" t="s">
        <v>176</v>
      </c>
      <c r="Q13" s="141"/>
      <c r="R13" s="687"/>
      <c r="S13" s="687"/>
      <c r="T13" s="687"/>
    </row>
    <row r="14" spans="1:20" x14ac:dyDescent="0.35">
      <c r="B14" s="777" t="s">
        <v>448</v>
      </c>
      <c r="C14" s="757">
        <v>7600</v>
      </c>
      <c r="D14" s="1387" t="s">
        <v>176</v>
      </c>
      <c r="E14" s="787"/>
      <c r="F14" s="756" t="str">
        <f t="shared" si="0"/>
        <v>June</v>
      </c>
      <c r="G14" s="757">
        <v>2000</v>
      </c>
      <c r="H14" s="1389" t="s">
        <v>176</v>
      </c>
      <c r="I14" s="778"/>
      <c r="J14" s="756" t="str">
        <f t="shared" si="1"/>
        <v>June</v>
      </c>
      <c r="K14" s="757">
        <v>2000</v>
      </c>
      <c r="L14" s="1389" t="s">
        <v>176</v>
      </c>
      <c r="M14" s="1715"/>
      <c r="N14" s="756" t="str">
        <f t="shared" si="2"/>
        <v>June</v>
      </c>
      <c r="O14" s="757">
        <v>500</v>
      </c>
      <c r="P14" s="1389" t="s">
        <v>176</v>
      </c>
      <c r="Q14" s="141"/>
      <c r="R14" s="687"/>
      <c r="S14" s="687"/>
      <c r="T14" s="687"/>
    </row>
    <row r="15" spans="1:20" x14ac:dyDescent="0.35">
      <c r="B15" s="777" t="s">
        <v>449</v>
      </c>
      <c r="C15" s="757">
        <v>7600</v>
      </c>
      <c r="D15" s="1387" t="s">
        <v>176</v>
      </c>
      <c r="E15" s="787"/>
      <c r="F15" s="756" t="str">
        <f t="shared" si="0"/>
        <v>July</v>
      </c>
      <c r="G15" s="757">
        <v>1000</v>
      </c>
      <c r="H15" s="1389" t="s">
        <v>176</v>
      </c>
      <c r="I15" s="778"/>
      <c r="J15" s="756" t="str">
        <f t="shared" si="1"/>
        <v>July</v>
      </c>
      <c r="K15" s="757">
        <v>1000</v>
      </c>
      <c r="L15" s="1389" t="s">
        <v>176</v>
      </c>
      <c r="M15" s="1715"/>
      <c r="N15" s="756" t="str">
        <f t="shared" si="2"/>
        <v>July</v>
      </c>
      <c r="O15" s="757">
        <v>250</v>
      </c>
      <c r="P15" s="1389" t="s">
        <v>176</v>
      </c>
      <c r="Q15" s="141"/>
      <c r="R15" s="687"/>
      <c r="S15" s="687"/>
      <c r="T15" s="687"/>
    </row>
    <row r="16" spans="1:20" x14ac:dyDescent="0.35">
      <c r="B16" s="777" t="s">
        <v>450</v>
      </c>
      <c r="C16" s="757">
        <v>6800</v>
      </c>
      <c r="D16" s="1387" t="s">
        <v>176</v>
      </c>
      <c r="E16" s="787"/>
      <c r="F16" s="756" t="str">
        <f t="shared" si="0"/>
        <v>August</v>
      </c>
      <c r="G16" s="757">
        <v>1000</v>
      </c>
      <c r="H16" s="1389" t="s">
        <v>176</v>
      </c>
      <c r="I16" s="778"/>
      <c r="J16" s="756" t="str">
        <f t="shared" si="1"/>
        <v>August</v>
      </c>
      <c r="K16" s="757">
        <v>1000</v>
      </c>
      <c r="L16" s="1389" t="s">
        <v>176</v>
      </c>
      <c r="M16" s="1715"/>
      <c r="N16" s="756" t="str">
        <f t="shared" si="2"/>
        <v>August</v>
      </c>
      <c r="O16" s="757">
        <v>500</v>
      </c>
      <c r="P16" s="1389" t="s">
        <v>176</v>
      </c>
      <c r="Q16" s="141"/>
      <c r="R16" s="687"/>
      <c r="S16" s="687"/>
      <c r="T16" s="687"/>
    </row>
    <row r="17" spans="1:19" x14ac:dyDescent="0.35">
      <c r="B17" s="777" t="s">
        <v>451</v>
      </c>
      <c r="C17" s="757">
        <v>6800</v>
      </c>
      <c r="D17" s="1387" t="s">
        <v>176</v>
      </c>
      <c r="E17" s="787"/>
      <c r="F17" s="756" t="str">
        <f t="shared" si="0"/>
        <v>September</v>
      </c>
      <c r="G17" s="757">
        <v>5000</v>
      </c>
      <c r="H17" s="1389" t="s">
        <v>176</v>
      </c>
      <c r="I17" s="778"/>
      <c r="J17" s="756" t="str">
        <f t="shared" si="1"/>
        <v>September</v>
      </c>
      <c r="K17" s="757">
        <v>1000</v>
      </c>
      <c r="L17" s="1389" t="s">
        <v>176</v>
      </c>
      <c r="M17" s="1715"/>
      <c r="N17" s="756" t="str">
        <f t="shared" si="2"/>
        <v>September</v>
      </c>
      <c r="O17" s="757">
        <v>500</v>
      </c>
      <c r="P17" s="1389" t="s">
        <v>176</v>
      </c>
      <c r="Q17" s="141"/>
      <c r="R17" s="687"/>
      <c r="S17" s="687"/>
    </row>
    <row r="18" spans="1:19" x14ac:dyDescent="0.35">
      <c r="B18" s="777" t="s">
        <v>452</v>
      </c>
      <c r="C18" s="757">
        <v>8300</v>
      </c>
      <c r="D18" s="1387" t="s">
        <v>176</v>
      </c>
      <c r="E18" s="778"/>
      <c r="F18" s="756" t="str">
        <f t="shared" si="0"/>
        <v>October</v>
      </c>
      <c r="G18" s="757">
        <v>600</v>
      </c>
      <c r="H18" s="1389" t="s">
        <v>176</v>
      </c>
      <c r="I18" s="778"/>
      <c r="J18" s="756" t="str">
        <f t="shared" si="1"/>
        <v>October</v>
      </c>
      <c r="K18" s="757">
        <v>1500</v>
      </c>
      <c r="L18" s="1389" t="s">
        <v>176</v>
      </c>
      <c r="M18" s="1715"/>
      <c r="N18" s="756" t="str">
        <f t="shared" si="2"/>
        <v>October</v>
      </c>
      <c r="O18" s="757">
        <v>750</v>
      </c>
      <c r="P18" s="1389" t="s">
        <v>176</v>
      </c>
      <c r="Q18" s="141"/>
      <c r="R18" s="687"/>
      <c r="S18" s="687"/>
    </row>
    <row r="19" spans="1:19" x14ac:dyDescent="0.35">
      <c r="B19" s="777" t="s">
        <v>453</v>
      </c>
      <c r="C19" s="757">
        <v>7300</v>
      </c>
      <c r="D19" s="1387" t="s">
        <v>176</v>
      </c>
      <c r="E19" s="778"/>
      <c r="F19" s="756" t="str">
        <f t="shared" si="0"/>
        <v>November</v>
      </c>
      <c r="G19" s="757">
        <v>9000</v>
      </c>
      <c r="H19" s="1389" t="s">
        <v>176</v>
      </c>
      <c r="I19" s="778"/>
      <c r="J19" s="756" t="str">
        <f t="shared" si="1"/>
        <v>November</v>
      </c>
      <c r="K19" s="757">
        <v>3000</v>
      </c>
      <c r="L19" s="1389" t="s">
        <v>176</v>
      </c>
      <c r="M19" s="1715"/>
      <c r="N19" s="756" t="str">
        <f t="shared" si="2"/>
        <v>November</v>
      </c>
      <c r="O19" s="757">
        <v>750</v>
      </c>
      <c r="P19" s="1389" t="s">
        <v>176</v>
      </c>
      <c r="Q19" s="141"/>
      <c r="R19" s="687"/>
      <c r="S19" s="687"/>
    </row>
    <row r="20" spans="1:19" x14ac:dyDescent="0.35">
      <c r="B20" s="777" t="s">
        <v>454</v>
      </c>
      <c r="C20" s="757">
        <v>6600</v>
      </c>
      <c r="D20" s="1387" t="s">
        <v>176</v>
      </c>
      <c r="E20" s="778"/>
      <c r="F20" s="756" t="str">
        <f t="shared" si="0"/>
        <v>December</v>
      </c>
      <c r="G20" s="757">
        <v>8000</v>
      </c>
      <c r="H20" s="1389" t="s">
        <v>176</v>
      </c>
      <c r="I20" s="778"/>
      <c r="J20" s="756" t="str">
        <f t="shared" si="1"/>
        <v>December</v>
      </c>
      <c r="K20" s="757">
        <v>4000</v>
      </c>
      <c r="L20" s="1389" t="s">
        <v>176</v>
      </c>
      <c r="M20" s="1715"/>
      <c r="N20" s="756" t="str">
        <f t="shared" si="2"/>
        <v>December</v>
      </c>
      <c r="O20" s="757">
        <v>1000</v>
      </c>
      <c r="P20" s="1389" t="s">
        <v>176</v>
      </c>
      <c r="Q20" s="141"/>
      <c r="R20" s="687"/>
      <c r="S20" s="687"/>
    </row>
    <row r="21" spans="1:19" x14ac:dyDescent="0.35">
      <c r="B21" s="779" t="s">
        <v>442</v>
      </c>
      <c r="C21" s="755">
        <f>SUM(C9:C20)</f>
        <v>91100</v>
      </c>
      <c r="D21" s="1388" t="s">
        <v>176</v>
      </c>
      <c r="E21" s="780"/>
      <c r="F21" s="754" t="s">
        <v>442</v>
      </c>
      <c r="G21" s="758">
        <f>SUM(G9:G20)</f>
        <v>57600</v>
      </c>
      <c r="H21" s="1390" t="s">
        <v>176</v>
      </c>
      <c r="I21" s="780"/>
      <c r="J21" s="754" t="s">
        <v>442</v>
      </c>
      <c r="K21" s="758">
        <f>SUM(K9:K20)</f>
        <v>28500</v>
      </c>
      <c r="L21" s="1390" t="s">
        <v>176</v>
      </c>
      <c r="M21" s="788"/>
      <c r="N21" s="754" t="s">
        <v>442</v>
      </c>
      <c r="O21" s="758">
        <f>SUM(O9:O20)</f>
        <v>11250</v>
      </c>
      <c r="P21" s="1390" t="s">
        <v>176</v>
      </c>
      <c r="Q21" s="141"/>
      <c r="R21" s="687"/>
      <c r="S21" s="687"/>
    </row>
    <row r="22" spans="1:19" x14ac:dyDescent="0.35">
      <c r="B22" s="768"/>
      <c r="C22" s="342"/>
      <c r="D22" s="343"/>
      <c r="E22" s="344"/>
      <c r="F22" s="344"/>
      <c r="G22" s="326"/>
      <c r="H22" s="341"/>
      <c r="I22" s="345"/>
      <c r="J22" s="346"/>
      <c r="K22" s="347"/>
      <c r="L22" s="344"/>
      <c r="M22" s="326"/>
      <c r="N22" s="341"/>
      <c r="O22" s="345"/>
      <c r="P22" s="346"/>
      <c r="Q22" s="141"/>
      <c r="R22" s="687"/>
      <c r="S22" s="687"/>
    </row>
    <row r="23" spans="1:19" s="514" customFormat="1" ht="15" thickBot="1" x14ac:dyDescent="0.4">
      <c r="A23" s="687"/>
      <c r="B23" s="159"/>
      <c r="C23" s="689"/>
      <c r="D23" s="689"/>
      <c r="E23" s="689"/>
      <c r="F23" s="689"/>
      <c r="G23" s="689"/>
      <c r="H23" s="689"/>
      <c r="I23" s="689"/>
      <c r="J23" s="43"/>
      <c r="K23" s="689"/>
      <c r="L23" s="149"/>
      <c r="M23" s="149"/>
      <c r="N23" s="149"/>
      <c r="O23" s="149"/>
      <c r="P23" s="149"/>
      <c r="Q23" s="141"/>
      <c r="R23" s="44"/>
      <c r="S23" s="44"/>
    </row>
    <row r="24" spans="1:19" s="514" customFormat="1" x14ac:dyDescent="0.35">
      <c r="A24" s="687"/>
      <c r="B24" s="159"/>
      <c r="C24" s="515"/>
      <c r="D24" s="516"/>
      <c r="E24" s="517"/>
      <c r="F24" s="517">
        <f>SUM(C21,G21,K21,O21)</f>
        <v>188450</v>
      </c>
      <c r="G24" s="518" t="s">
        <v>509</v>
      </c>
      <c r="H24" s="516"/>
      <c r="I24" s="519"/>
      <c r="J24" s="43"/>
      <c r="K24" s="689"/>
      <c r="L24" s="149"/>
      <c r="M24" s="149"/>
      <c r="N24" s="149"/>
      <c r="O24" s="149"/>
      <c r="P24" s="149"/>
      <c r="Q24" s="141"/>
      <c r="R24" s="44"/>
      <c r="S24" s="44"/>
    </row>
    <row r="25" spans="1:19" s="514" customFormat="1" ht="15" thickBot="1" x14ac:dyDescent="0.4">
      <c r="A25" s="687"/>
      <c r="B25" s="159"/>
      <c r="C25" s="142"/>
      <c r="D25" s="43"/>
      <c r="E25" s="325"/>
      <c r="F25" s="1554">
        <v>5.306</v>
      </c>
      <c r="G25" s="326" t="s">
        <v>510</v>
      </c>
      <c r="H25" s="326"/>
      <c r="I25" s="141"/>
      <c r="J25" s="43"/>
      <c r="K25" s="689"/>
      <c r="L25" s="149"/>
      <c r="M25" s="149"/>
      <c r="N25" s="149"/>
      <c r="O25" s="149"/>
      <c r="P25" s="149"/>
      <c r="Q25" s="141"/>
      <c r="R25" s="44"/>
      <c r="S25" s="44"/>
    </row>
    <row r="26" spans="1:19" s="514" customFormat="1" ht="15" thickBot="1" x14ac:dyDescent="0.4">
      <c r="A26" s="687"/>
      <c r="B26" s="159"/>
      <c r="C26" s="277"/>
      <c r="D26" s="278"/>
      <c r="E26" s="279" t="str">
        <f>("Emissions from ALL "&amp;brew1_abb&amp;" Natural Gas")</f>
        <v>Emissions from ALL MAIN Natural Gas</v>
      </c>
      <c r="F26" s="782">
        <f>F24*F25</f>
        <v>999915.7</v>
      </c>
      <c r="G26" s="280" t="s">
        <v>495</v>
      </c>
      <c r="H26" s="326"/>
      <c r="I26" s="520"/>
      <c r="J26" s="43"/>
      <c r="K26" s="689"/>
      <c r="L26" s="149"/>
      <c r="M26" s="149"/>
      <c r="N26" s="149"/>
      <c r="O26" s="149"/>
      <c r="P26" s="149"/>
      <c r="Q26" s="141"/>
      <c r="R26" s="44"/>
      <c r="S26" s="44"/>
    </row>
    <row r="27" spans="1:19" s="514" customFormat="1" x14ac:dyDescent="0.35">
      <c r="A27" s="687"/>
      <c r="B27" s="159"/>
      <c r="C27" s="521"/>
      <c r="D27" s="219"/>
      <c r="E27" s="219"/>
      <c r="F27" s="783">
        <f>F26*2.2046</f>
        <v>2204414.15222</v>
      </c>
      <c r="G27" s="217" t="s">
        <v>496</v>
      </c>
      <c r="H27" s="43"/>
      <c r="I27" s="141"/>
      <c r="J27" s="43"/>
      <c r="K27" s="689"/>
      <c r="L27" s="149"/>
      <c r="M27" s="149"/>
      <c r="N27" s="149"/>
      <c r="O27" s="149"/>
      <c r="P27" s="149"/>
      <c r="Q27" s="141"/>
      <c r="R27" s="44"/>
      <c r="S27" s="44"/>
    </row>
    <row r="28" spans="1:19" s="514" customFormat="1" x14ac:dyDescent="0.35">
      <c r="A28" s="687"/>
      <c r="B28" s="159"/>
      <c r="C28" s="521"/>
      <c r="D28" s="219"/>
      <c r="E28" s="219"/>
      <c r="F28" s="783">
        <f>F27/2000</f>
        <v>1102.2070761100001</v>
      </c>
      <c r="G28" s="217" t="s">
        <v>497</v>
      </c>
      <c r="H28" s="43"/>
      <c r="I28" s="141"/>
      <c r="J28" s="43"/>
      <c r="K28" s="689"/>
      <c r="L28" s="149"/>
      <c r="M28" s="149"/>
      <c r="N28" s="149"/>
      <c r="O28" s="149"/>
      <c r="P28" s="149"/>
      <c r="Q28" s="141"/>
      <c r="R28" s="44"/>
      <c r="S28" s="44"/>
    </row>
    <row r="29" spans="1:19" s="514" customFormat="1" ht="15" thickBot="1" x14ac:dyDescent="0.4">
      <c r="A29" s="687"/>
      <c r="B29" s="159"/>
      <c r="C29" s="159"/>
      <c r="D29" s="83"/>
      <c r="E29" s="199" t="s">
        <v>276</v>
      </c>
      <c r="F29" s="784">
        <f>'Brewery-Control Data'!$B$10</f>
        <v>123215.153565</v>
      </c>
      <c r="G29" s="198" t="s">
        <v>125</v>
      </c>
      <c r="H29" s="43"/>
      <c r="I29" s="141"/>
      <c r="J29" s="43"/>
      <c r="K29" s="689"/>
      <c r="L29" s="149"/>
      <c r="M29" s="149"/>
      <c r="N29" s="149"/>
      <c r="O29" s="149"/>
      <c r="P29" s="149"/>
      <c r="Q29" s="141"/>
      <c r="R29" s="44"/>
      <c r="S29" s="44"/>
    </row>
    <row r="30" spans="1:19" s="514" customFormat="1" ht="15" thickBot="1" x14ac:dyDescent="0.4">
      <c r="A30" s="687"/>
      <c r="B30" s="159"/>
      <c r="C30" s="333"/>
      <c r="D30" s="334"/>
      <c r="E30" s="335" t="str">
        <f>("Emissions Intensity from ALL "&amp;brew1_abb)</f>
        <v>Emissions Intensity from ALL MAIN</v>
      </c>
      <c r="F30" s="336">
        <f>F26/F29</f>
        <v>8.1152006962561778</v>
      </c>
      <c r="G30" s="337" t="s">
        <v>498</v>
      </c>
      <c r="H30" s="147"/>
      <c r="I30" s="148"/>
      <c r="J30" s="43"/>
      <c r="K30" s="689"/>
      <c r="L30" s="149"/>
      <c r="M30" s="149"/>
      <c r="N30" s="149"/>
      <c r="O30" s="149"/>
      <c r="P30" s="149"/>
      <c r="Q30" s="141"/>
      <c r="R30" s="44"/>
      <c r="S30" s="44"/>
    </row>
    <row r="31" spans="1:19" s="514" customFormat="1" ht="15" thickBot="1" x14ac:dyDescent="0.4">
      <c r="A31" s="687"/>
      <c r="B31" s="769"/>
      <c r="C31" s="770"/>
      <c r="D31" s="770"/>
      <c r="E31" s="771"/>
      <c r="F31" s="772"/>
      <c r="G31" s="773"/>
      <c r="H31" s="147"/>
      <c r="I31" s="147"/>
      <c r="J31" s="147"/>
      <c r="K31" s="774"/>
      <c r="L31" s="775"/>
      <c r="M31" s="775"/>
      <c r="N31" s="775"/>
      <c r="O31" s="775"/>
      <c r="P31" s="775"/>
      <c r="Q31" s="148"/>
      <c r="R31" s="44"/>
      <c r="S31" s="44"/>
    </row>
    <row r="32" spans="1:19" s="514" customFormat="1" ht="15" thickBot="1" x14ac:dyDescent="0.4">
      <c r="A32" s="687"/>
      <c r="B32" s="83"/>
      <c r="C32" s="198"/>
      <c r="D32" s="198"/>
      <c r="E32" s="199"/>
      <c r="F32" s="200"/>
      <c r="G32" s="75"/>
      <c r="H32" s="43"/>
      <c r="I32" s="43"/>
      <c r="J32" s="44"/>
      <c r="K32" s="687"/>
      <c r="L32" s="81"/>
      <c r="M32" s="81"/>
      <c r="N32" s="81"/>
      <c r="O32" s="81"/>
      <c r="P32" s="81"/>
      <c r="Q32" s="44"/>
      <c r="R32" s="44"/>
      <c r="S32" s="44"/>
    </row>
    <row r="33" spans="1:19" s="687" customFormat="1" ht="16" thickBot="1" x14ac:dyDescent="0.4">
      <c r="A33" s="842" t="str">
        <f>(brewery2_name&amp;" Natural Gas Data "&amp;ghg_year)</f>
        <v>Second Brewery Natural Gas Data 2020</v>
      </c>
      <c r="B33" s="918"/>
      <c r="C33" s="1391"/>
      <c r="D33" s="1392"/>
      <c r="E33" s="1393"/>
      <c r="F33" s="200"/>
      <c r="G33" s="75"/>
      <c r="H33" s="43"/>
      <c r="I33" s="43"/>
      <c r="J33" s="44"/>
      <c r="L33" s="81"/>
      <c r="M33" s="81"/>
      <c r="N33" s="81"/>
      <c r="O33" s="81"/>
      <c r="P33" s="81"/>
      <c r="Q33" s="44"/>
      <c r="R33" s="44"/>
      <c r="S33" s="44"/>
    </row>
    <row r="34" spans="1:19" s="687" customFormat="1" x14ac:dyDescent="0.35">
      <c r="B34" s="759" t="str">
        <f>(brew2_abb&amp;" Natural Gas Usage - Meter 1")</f>
        <v>2ND Natural Gas Usage - Meter 1</v>
      </c>
      <c r="C34" s="760"/>
      <c r="D34" s="1386"/>
      <c r="E34" s="761"/>
      <c r="F34" s="762" t="str">
        <f>(brew2_abb&amp;" Natural Gas Usage - Meter 2")</f>
        <v>2ND Natural Gas Usage - Meter 2</v>
      </c>
      <c r="G34" s="760"/>
      <c r="H34" s="1386"/>
      <c r="I34" s="761"/>
      <c r="J34" s="762" t="str">
        <f>(brew2_abb&amp;" Natural Gas Usage - Meter 3")</f>
        <v>2ND Natural Gas Usage - Meter 3</v>
      </c>
      <c r="K34" s="760"/>
      <c r="L34" s="1386"/>
      <c r="M34" s="776"/>
      <c r="Q34" s="83"/>
      <c r="R34" s="44"/>
      <c r="S34" s="44"/>
    </row>
    <row r="35" spans="1:19" s="687" customFormat="1" x14ac:dyDescent="0.35">
      <c r="B35" s="765" t="s">
        <v>435</v>
      </c>
      <c r="C35" s="202" t="s">
        <v>507</v>
      </c>
      <c r="D35" s="202" t="s">
        <v>508</v>
      </c>
      <c r="E35" s="326"/>
      <c r="F35" s="203" t="s">
        <v>435</v>
      </c>
      <c r="G35" s="202" t="s">
        <v>507</v>
      </c>
      <c r="H35" s="202" t="s">
        <v>508</v>
      </c>
      <c r="I35" s="326"/>
      <c r="J35" s="203" t="s">
        <v>435</v>
      </c>
      <c r="K35" s="202" t="s">
        <v>507</v>
      </c>
      <c r="L35" s="202" t="s">
        <v>508</v>
      </c>
      <c r="M35" s="20"/>
      <c r="Q35" s="83"/>
      <c r="R35" s="44"/>
      <c r="S35" s="44"/>
    </row>
    <row r="36" spans="1:19" s="687" customFormat="1" x14ac:dyDescent="0.35">
      <c r="B36" s="777" t="s">
        <v>443</v>
      </c>
      <c r="C36" s="757">
        <v>8800</v>
      </c>
      <c r="D36" s="1387" t="s">
        <v>176</v>
      </c>
      <c r="E36" s="766"/>
      <c r="F36" s="756" t="str">
        <f t="shared" ref="F36:F47" si="3">B36</f>
        <v>January</v>
      </c>
      <c r="G36" s="757">
        <v>4000</v>
      </c>
      <c r="H36" s="1389" t="s">
        <v>176</v>
      </c>
      <c r="I36" s="778"/>
      <c r="J36" s="756" t="str">
        <f t="shared" ref="J36:J47" si="4">B36</f>
        <v>January</v>
      </c>
      <c r="K36" s="757">
        <v>3000</v>
      </c>
      <c r="L36" s="1389" t="s">
        <v>176</v>
      </c>
      <c r="M36" s="20"/>
      <c r="Q36" s="83"/>
      <c r="R36" s="44"/>
      <c r="S36" s="44"/>
    </row>
    <row r="37" spans="1:19" s="687" customFormat="1" x14ac:dyDescent="0.35">
      <c r="B37" s="777" t="s">
        <v>444</v>
      </c>
      <c r="C37" s="757">
        <v>8400</v>
      </c>
      <c r="D37" s="1387" t="s">
        <v>176</v>
      </c>
      <c r="E37" s="766"/>
      <c r="F37" s="756" t="str">
        <f t="shared" si="3"/>
        <v>February</v>
      </c>
      <c r="G37" s="757">
        <v>3000</v>
      </c>
      <c r="H37" s="1389" t="s">
        <v>176</v>
      </c>
      <c r="I37" s="778"/>
      <c r="J37" s="756" t="str">
        <f t="shared" si="4"/>
        <v>February</v>
      </c>
      <c r="K37" s="757">
        <v>2000</v>
      </c>
      <c r="L37" s="1389" t="s">
        <v>176</v>
      </c>
      <c r="M37" s="20"/>
      <c r="Q37" s="83"/>
      <c r="R37" s="44"/>
      <c r="S37" s="44"/>
    </row>
    <row r="38" spans="1:19" s="687" customFormat="1" x14ac:dyDescent="0.35">
      <c r="B38" s="777" t="s">
        <v>445</v>
      </c>
      <c r="C38" s="757">
        <v>8000</v>
      </c>
      <c r="D38" s="1387" t="s">
        <v>176</v>
      </c>
      <c r="E38" s="766"/>
      <c r="F38" s="756" t="str">
        <f t="shared" si="3"/>
        <v>March</v>
      </c>
      <c r="G38" s="757">
        <v>2500</v>
      </c>
      <c r="H38" s="1389" t="s">
        <v>176</v>
      </c>
      <c r="I38" s="778"/>
      <c r="J38" s="756" t="str">
        <f t="shared" si="4"/>
        <v>March</v>
      </c>
      <c r="K38" s="757">
        <v>750</v>
      </c>
      <c r="L38" s="1389" t="s">
        <v>176</v>
      </c>
      <c r="M38" s="20"/>
      <c r="Q38" s="83"/>
      <c r="R38" s="44"/>
      <c r="S38" s="44"/>
    </row>
    <row r="39" spans="1:19" s="687" customFormat="1" x14ac:dyDescent="0.35">
      <c r="B39" s="777" t="s">
        <v>446</v>
      </c>
      <c r="C39" s="757">
        <v>7200</v>
      </c>
      <c r="D39" s="1387" t="s">
        <v>176</v>
      </c>
      <c r="E39" s="766"/>
      <c r="F39" s="756" t="str">
        <f t="shared" si="3"/>
        <v>April</v>
      </c>
      <c r="G39" s="757">
        <v>3000</v>
      </c>
      <c r="H39" s="1389" t="s">
        <v>176</v>
      </c>
      <c r="I39" s="778"/>
      <c r="J39" s="756" t="str">
        <f t="shared" si="4"/>
        <v>April</v>
      </c>
      <c r="K39" s="757">
        <v>750</v>
      </c>
      <c r="L39" s="1389" t="s">
        <v>176</v>
      </c>
      <c r="M39" s="20"/>
      <c r="Q39" s="83"/>
      <c r="R39" s="44"/>
      <c r="S39" s="44"/>
    </row>
    <row r="40" spans="1:19" s="687" customFormat="1" x14ac:dyDescent="0.35">
      <c r="B40" s="777" t="s">
        <v>447</v>
      </c>
      <c r="C40" s="757">
        <v>7700</v>
      </c>
      <c r="D40" s="1387" t="s">
        <v>176</v>
      </c>
      <c r="E40" s="766"/>
      <c r="F40" s="756" t="str">
        <f t="shared" si="3"/>
        <v>May</v>
      </c>
      <c r="G40" s="757">
        <v>2500</v>
      </c>
      <c r="H40" s="1389" t="s">
        <v>176</v>
      </c>
      <c r="I40" s="778"/>
      <c r="J40" s="756" t="str">
        <f t="shared" si="4"/>
        <v>May</v>
      </c>
      <c r="K40" s="757">
        <v>500</v>
      </c>
      <c r="L40" s="1389" t="s">
        <v>176</v>
      </c>
      <c r="M40" s="20"/>
      <c r="Q40" s="83"/>
      <c r="R40" s="44"/>
      <c r="S40" s="44"/>
    </row>
    <row r="41" spans="1:19" s="687" customFormat="1" x14ac:dyDescent="0.35">
      <c r="B41" s="777" t="s">
        <v>448</v>
      </c>
      <c r="C41" s="757">
        <v>7600</v>
      </c>
      <c r="D41" s="1387" t="s">
        <v>176</v>
      </c>
      <c r="E41" s="766"/>
      <c r="F41" s="756" t="str">
        <f t="shared" si="3"/>
        <v>June</v>
      </c>
      <c r="G41" s="757">
        <v>2000</v>
      </c>
      <c r="H41" s="1389" t="s">
        <v>176</v>
      </c>
      <c r="I41" s="778"/>
      <c r="J41" s="756" t="str">
        <f t="shared" si="4"/>
        <v>June</v>
      </c>
      <c r="K41" s="757">
        <v>500</v>
      </c>
      <c r="L41" s="1389" t="s">
        <v>176</v>
      </c>
      <c r="M41" s="20"/>
      <c r="Q41" s="83"/>
      <c r="R41" s="44"/>
      <c r="S41" s="44"/>
    </row>
    <row r="42" spans="1:19" s="687" customFormat="1" x14ac:dyDescent="0.35">
      <c r="B42" s="777" t="s">
        <v>449</v>
      </c>
      <c r="C42" s="757">
        <v>7600</v>
      </c>
      <c r="D42" s="1387" t="s">
        <v>176</v>
      </c>
      <c r="E42" s="766"/>
      <c r="F42" s="756" t="str">
        <f t="shared" si="3"/>
        <v>July</v>
      </c>
      <c r="G42" s="757">
        <v>1000</v>
      </c>
      <c r="H42" s="1389" t="s">
        <v>176</v>
      </c>
      <c r="I42" s="778"/>
      <c r="J42" s="756" t="str">
        <f t="shared" si="4"/>
        <v>July</v>
      </c>
      <c r="K42" s="757">
        <v>250</v>
      </c>
      <c r="L42" s="1389" t="s">
        <v>176</v>
      </c>
      <c r="M42" s="20"/>
      <c r="Q42" s="83"/>
      <c r="R42" s="44"/>
      <c r="S42" s="44"/>
    </row>
    <row r="43" spans="1:19" s="687" customFormat="1" x14ac:dyDescent="0.35">
      <c r="B43" s="777" t="s">
        <v>450</v>
      </c>
      <c r="C43" s="757">
        <v>6800</v>
      </c>
      <c r="D43" s="1387" t="s">
        <v>176</v>
      </c>
      <c r="E43" s="766"/>
      <c r="F43" s="756" t="str">
        <f t="shared" si="3"/>
        <v>August</v>
      </c>
      <c r="G43" s="757">
        <v>1000</v>
      </c>
      <c r="H43" s="1389" t="s">
        <v>176</v>
      </c>
      <c r="I43" s="778"/>
      <c r="J43" s="756" t="str">
        <f t="shared" si="4"/>
        <v>August</v>
      </c>
      <c r="K43" s="757">
        <v>500</v>
      </c>
      <c r="L43" s="1389" t="s">
        <v>176</v>
      </c>
      <c r="M43" s="20"/>
      <c r="Q43" s="83"/>
      <c r="R43" s="44"/>
      <c r="S43" s="44"/>
    </row>
    <row r="44" spans="1:19" s="687" customFormat="1" x14ac:dyDescent="0.35">
      <c r="B44" s="777" t="s">
        <v>451</v>
      </c>
      <c r="C44" s="757">
        <v>6800</v>
      </c>
      <c r="D44" s="1387" t="s">
        <v>176</v>
      </c>
      <c r="E44" s="766"/>
      <c r="F44" s="756" t="str">
        <f t="shared" si="3"/>
        <v>September</v>
      </c>
      <c r="G44" s="757">
        <v>1000</v>
      </c>
      <c r="H44" s="1389" t="s">
        <v>176</v>
      </c>
      <c r="I44" s="778"/>
      <c r="J44" s="756" t="str">
        <f t="shared" si="4"/>
        <v>September</v>
      </c>
      <c r="K44" s="757">
        <v>500</v>
      </c>
      <c r="L44" s="1389" t="s">
        <v>176</v>
      </c>
      <c r="M44" s="20"/>
      <c r="Q44" s="83"/>
      <c r="R44" s="44"/>
      <c r="S44" s="44"/>
    </row>
    <row r="45" spans="1:19" s="687" customFormat="1" x14ac:dyDescent="0.35">
      <c r="B45" s="777" t="s">
        <v>452</v>
      </c>
      <c r="C45" s="757">
        <v>8300</v>
      </c>
      <c r="D45" s="1387" t="s">
        <v>176</v>
      </c>
      <c r="E45" s="326"/>
      <c r="F45" s="756" t="str">
        <f t="shared" si="3"/>
        <v>October</v>
      </c>
      <c r="G45" s="757">
        <v>1500</v>
      </c>
      <c r="H45" s="1389" t="s">
        <v>176</v>
      </c>
      <c r="I45" s="778"/>
      <c r="J45" s="756" t="str">
        <f t="shared" si="4"/>
        <v>October</v>
      </c>
      <c r="K45" s="757">
        <v>750</v>
      </c>
      <c r="L45" s="1389" t="s">
        <v>176</v>
      </c>
      <c r="M45" s="20"/>
      <c r="Q45" s="83"/>
      <c r="R45" s="44"/>
      <c r="S45" s="44"/>
    </row>
    <row r="46" spans="1:19" s="687" customFormat="1" x14ac:dyDescent="0.35">
      <c r="B46" s="777" t="s">
        <v>453</v>
      </c>
      <c r="C46" s="757">
        <v>7300</v>
      </c>
      <c r="D46" s="1387" t="s">
        <v>176</v>
      </c>
      <c r="E46" s="326"/>
      <c r="F46" s="756" t="str">
        <f t="shared" si="3"/>
        <v>November</v>
      </c>
      <c r="G46" s="757">
        <v>3000</v>
      </c>
      <c r="H46" s="1389" t="s">
        <v>176</v>
      </c>
      <c r="I46" s="778"/>
      <c r="J46" s="756" t="str">
        <f t="shared" si="4"/>
        <v>November</v>
      </c>
      <c r="K46" s="757">
        <v>750</v>
      </c>
      <c r="L46" s="1389" t="s">
        <v>176</v>
      </c>
      <c r="M46" s="20"/>
      <c r="Q46" s="83"/>
      <c r="R46" s="44"/>
      <c r="S46" s="44"/>
    </row>
    <row r="47" spans="1:19" s="687" customFormat="1" x14ac:dyDescent="0.35">
      <c r="B47" s="777" t="s">
        <v>454</v>
      </c>
      <c r="C47" s="757">
        <v>6600</v>
      </c>
      <c r="D47" s="1387" t="s">
        <v>176</v>
      </c>
      <c r="E47" s="326"/>
      <c r="F47" s="756" t="str">
        <f t="shared" si="3"/>
        <v>December</v>
      </c>
      <c r="G47" s="757">
        <v>4000</v>
      </c>
      <c r="H47" s="1389" t="s">
        <v>176</v>
      </c>
      <c r="I47" s="778"/>
      <c r="J47" s="756" t="str">
        <f t="shared" si="4"/>
        <v>December</v>
      </c>
      <c r="K47" s="757">
        <v>1000</v>
      </c>
      <c r="L47" s="1389" t="s">
        <v>176</v>
      </c>
      <c r="M47" s="20"/>
      <c r="Q47" s="83"/>
      <c r="R47" s="44"/>
      <c r="S47" s="44"/>
    </row>
    <row r="48" spans="1:19" s="687" customFormat="1" x14ac:dyDescent="0.35">
      <c r="B48" s="779" t="s">
        <v>442</v>
      </c>
      <c r="C48" s="755">
        <f>SUM(C36:C47)</f>
        <v>91100</v>
      </c>
      <c r="D48" s="1388" t="s">
        <v>176</v>
      </c>
      <c r="E48" s="767"/>
      <c r="F48" s="754" t="s">
        <v>442</v>
      </c>
      <c r="G48" s="758">
        <f>SUM(G36:G47)</f>
        <v>28500</v>
      </c>
      <c r="H48" s="1390" t="s">
        <v>176</v>
      </c>
      <c r="I48" s="780"/>
      <c r="J48" s="754" t="s">
        <v>442</v>
      </c>
      <c r="K48" s="758">
        <f>SUM(K36:K47)</f>
        <v>11250</v>
      </c>
      <c r="L48" s="1390" t="s">
        <v>176</v>
      </c>
      <c r="M48" s="20"/>
      <c r="Q48" s="83"/>
      <c r="R48" s="44"/>
      <c r="S48" s="44"/>
    </row>
    <row r="49" spans="1:19" s="687" customFormat="1" x14ac:dyDescent="0.35">
      <c r="B49" s="768"/>
      <c r="C49" s="342"/>
      <c r="D49" s="343"/>
      <c r="E49" s="344"/>
      <c r="F49" s="344"/>
      <c r="G49" s="326"/>
      <c r="H49" s="341"/>
      <c r="I49" s="345"/>
      <c r="J49" s="346"/>
      <c r="K49" s="347"/>
      <c r="L49" s="344"/>
      <c r="M49" s="520"/>
      <c r="N49" s="341"/>
      <c r="O49" s="345"/>
      <c r="P49" s="346"/>
      <c r="Q49" s="83"/>
      <c r="R49" s="44"/>
      <c r="S49" s="44"/>
    </row>
    <row r="50" spans="1:19" s="687" customFormat="1" x14ac:dyDescent="0.35">
      <c r="B50" s="159"/>
      <c r="C50" s="689"/>
      <c r="D50" s="689"/>
      <c r="E50" s="689"/>
      <c r="F50" s="689"/>
      <c r="G50" s="689"/>
      <c r="H50" s="689"/>
      <c r="I50" s="689"/>
      <c r="J50" s="83"/>
      <c r="K50" s="198"/>
      <c r="L50" s="198"/>
      <c r="M50" s="1394"/>
      <c r="N50" s="200"/>
      <c r="O50" s="75"/>
      <c r="P50" s="43"/>
      <c r="Q50" s="44"/>
      <c r="R50" s="44"/>
      <c r="S50" s="44"/>
    </row>
    <row r="51" spans="1:19" s="687" customFormat="1" ht="15" thickBot="1" x14ac:dyDescent="0.4">
      <c r="B51" s="159"/>
      <c r="C51" s="689"/>
      <c r="D51" s="689"/>
      <c r="E51" s="689"/>
      <c r="F51" s="689"/>
      <c r="G51" s="689"/>
      <c r="H51" s="689"/>
      <c r="I51" s="689"/>
      <c r="J51" s="43"/>
      <c r="K51" s="689"/>
      <c r="L51" s="198"/>
      <c r="M51" s="1394"/>
      <c r="N51" s="200"/>
      <c r="O51" s="75"/>
      <c r="P51" s="43"/>
      <c r="Q51" s="44"/>
      <c r="R51" s="44"/>
      <c r="S51" s="44"/>
    </row>
    <row r="52" spans="1:19" s="687" customFormat="1" x14ac:dyDescent="0.35">
      <c r="B52" s="159"/>
      <c r="C52" s="515"/>
      <c r="D52" s="516"/>
      <c r="E52" s="517"/>
      <c r="F52" s="517">
        <f>SUM(C48,G48,K48)</f>
        <v>130850</v>
      </c>
      <c r="G52" s="518" t="s">
        <v>509</v>
      </c>
      <c r="H52" s="516"/>
      <c r="I52" s="519"/>
      <c r="J52" s="43"/>
      <c r="K52" s="689"/>
      <c r="L52" s="198"/>
      <c r="M52" s="1394"/>
      <c r="N52" s="200"/>
      <c r="O52" s="75"/>
      <c r="P52" s="43"/>
      <c r="Q52" s="44"/>
      <c r="R52" s="44"/>
      <c r="S52" s="44"/>
    </row>
    <row r="53" spans="1:19" s="687" customFormat="1" ht="15" thickBot="1" x14ac:dyDescent="0.4">
      <c r="B53" s="159"/>
      <c r="C53" s="142"/>
      <c r="D53" s="43"/>
      <c r="E53" s="325"/>
      <c r="F53" s="1554">
        <v>5.306</v>
      </c>
      <c r="G53" s="326" t="s">
        <v>510</v>
      </c>
      <c r="H53" s="326"/>
      <c r="I53" s="141"/>
      <c r="J53" s="43"/>
      <c r="K53" s="689"/>
      <c r="L53" s="198"/>
      <c r="M53" s="1394"/>
      <c r="N53" s="200"/>
      <c r="O53" s="75"/>
      <c r="P53" s="43"/>
      <c r="Q53" s="44"/>
      <c r="R53" s="44"/>
      <c r="S53" s="44"/>
    </row>
    <row r="54" spans="1:19" s="687" customFormat="1" ht="15" thickBot="1" x14ac:dyDescent="0.4">
      <c r="B54" s="159"/>
      <c r="C54" s="277"/>
      <c r="D54" s="278"/>
      <c r="E54" s="279" t="str">
        <f>("Emissions from ALL "&amp;brew2_abb&amp;" Natural Gas")</f>
        <v>Emissions from ALL 2ND Natural Gas</v>
      </c>
      <c r="F54" s="782">
        <f>F52*F53</f>
        <v>694290.1</v>
      </c>
      <c r="G54" s="280" t="s">
        <v>495</v>
      </c>
      <c r="H54" s="326"/>
      <c r="I54" s="520"/>
      <c r="J54" s="43"/>
      <c r="K54" s="689"/>
      <c r="L54" s="198"/>
      <c r="M54" s="1394"/>
      <c r="N54" s="200"/>
      <c r="O54" s="75"/>
      <c r="P54" s="43"/>
      <c r="Q54" s="44"/>
      <c r="R54" s="44"/>
      <c r="S54" s="44"/>
    </row>
    <row r="55" spans="1:19" s="687" customFormat="1" x14ac:dyDescent="0.35">
      <c r="B55" s="159"/>
      <c r="C55" s="521"/>
      <c r="D55" s="219"/>
      <c r="E55" s="219"/>
      <c r="F55" s="783">
        <f>F54*2.2046</f>
        <v>1530631.9544599999</v>
      </c>
      <c r="G55" s="217" t="s">
        <v>496</v>
      </c>
      <c r="H55" s="43"/>
      <c r="I55" s="141"/>
      <c r="J55" s="43"/>
      <c r="K55" s="689"/>
      <c r="L55" s="198"/>
      <c r="M55" s="1394"/>
      <c r="N55" s="200"/>
      <c r="O55" s="75"/>
      <c r="P55" s="43"/>
      <c r="Q55" s="44"/>
      <c r="R55" s="44"/>
      <c r="S55" s="44"/>
    </row>
    <row r="56" spans="1:19" s="687" customFormat="1" x14ac:dyDescent="0.35">
      <c r="B56" s="159"/>
      <c r="C56" s="521"/>
      <c r="D56" s="219"/>
      <c r="E56" s="219"/>
      <c r="F56" s="783">
        <f>F55/2000</f>
        <v>765.31597722999993</v>
      </c>
      <c r="G56" s="217" t="s">
        <v>497</v>
      </c>
      <c r="H56" s="43"/>
      <c r="I56" s="141"/>
      <c r="J56" s="43"/>
      <c r="K56" s="689"/>
      <c r="L56" s="198"/>
      <c r="M56" s="1394"/>
      <c r="N56" s="200"/>
      <c r="O56" s="75"/>
      <c r="P56" s="43"/>
      <c r="Q56" s="44"/>
      <c r="R56" s="44"/>
      <c r="S56" s="44"/>
    </row>
    <row r="57" spans="1:19" s="687" customFormat="1" ht="15" thickBot="1" x14ac:dyDescent="0.4">
      <c r="B57" s="159"/>
      <c r="C57" s="159"/>
      <c r="D57" s="83"/>
      <c r="E57" s="198" t="s">
        <v>276</v>
      </c>
      <c r="F57" s="784">
        <f>'Brewery-Control Data'!$E$10</f>
        <v>88010.823974999992</v>
      </c>
      <c r="G57" s="198" t="s">
        <v>125</v>
      </c>
      <c r="H57" s="43"/>
      <c r="I57" s="141"/>
      <c r="J57" s="43"/>
      <c r="K57" s="689"/>
      <c r="L57" s="198"/>
      <c r="M57" s="1394"/>
      <c r="N57" s="200"/>
      <c r="O57" s="75"/>
      <c r="P57" s="43"/>
      <c r="Q57" s="44"/>
      <c r="R57" s="44"/>
      <c r="S57" s="44"/>
    </row>
    <row r="58" spans="1:19" s="687" customFormat="1" ht="15" thickBot="1" x14ac:dyDescent="0.4">
      <c r="B58" s="159"/>
      <c r="C58" s="333"/>
      <c r="D58" s="334"/>
      <c r="E58" s="335" t="str">
        <f>("Emissions Intensity from ALL "&amp;brew2_abb)</f>
        <v>Emissions Intensity from ALL 2ND</v>
      </c>
      <c r="F58" s="336">
        <f>F54/F57</f>
        <v>7.8886899206535928</v>
      </c>
      <c r="G58" s="337" t="s">
        <v>498</v>
      </c>
      <c r="H58" s="147"/>
      <c r="I58" s="148"/>
      <c r="J58" s="43"/>
      <c r="K58" s="689"/>
      <c r="L58" s="198"/>
      <c r="M58" s="1394"/>
      <c r="N58" s="200"/>
      <c r="O58" s="75"/>
      <c r="P58" s="43"/>
      <c r="Q58" s="44"/>
      <c r="R58" s="44"/>
      <c r="S58" s="44"/>
    </row>
    <row r="59" spans="1:19" s="687" customFormat="1" ht="15" thickBot="1" x14ac:dyDescent="0.4">
      <c r="B59" s="769"/>
      <c r="C59" s="770"/>
      <c r="D59" s="770"/>
      <c r="E59" s="771"/>
      <c r="F59" s="772"/>
      <c r="G59" s="773"/>
      <c r="H59" s="147"/>
      <c r="I59" s="147"/>
      <c r="J59" s="147"/>
      <c r="K59" s="774"/>
      <c r="L59" s="775"/>
      <c r="M59" s="781"/>
      <c r="N59" s="200"/>
      <c r="O59" s="75"/>
      <c r="P59" s="43"/>
      <c r="Q59" s="44"/>
      <c r="R59" s="44"/>
      <c r="S59" s="44"/>
    </row>
    <row r="60" spans="1:19" s="687" customFormat="1" ht="15" thickBot="1" x14ac:dyDescent="0.4">
      <c r="B60" s="83"/>
      <c r="C60" s="198"/>
      <c r="D60" s="198"/>
      <c r="E60" s="199"/>
      <c r="F60" s="200"/>
      <c r="G60" s="75"/>
      <c r="H60" s="43"/>
      <c r="I60" s="43"/>
      <c r="J60" s="44"/>
      <c r="L60" s="81"/>
      <c r="M60" s="81"/>
      <c r="N60" s="81"/>
      <c r="O60" s="81"/>
      <c r="P60" s="81"/>
      <c r="Q60" s="44"/>
      <c r="R60" s="44"/>
      <c r="S60" s="44"/>
    </row>
    <row r="61" spans="1:19" s="687" customFormat="1" ht="16" thickBot="1" x14ac:dyDescent="0.4">
      <c r="A61" s="842" t="s">
        <v>492</v>
      </c>
      <c r="B61" s="847"/>
      <c r="C61" s="546"/>
      <c r="D61" s="198"/>
      <c r="E61" s="199"/>
      <c r="F61" s="200"/>
      <c r="G61" s="75"/>
      <c r="H61" s="43"/>
      <c r="I61" s="43"/>
      <c r="J61" s="44"/>
      <c r="L61" s="81"/>
      <c r="M61" s="81"/>
      <c r="N61" s="81"/>
      <c r="O61" s="81"/>
      <c r="P61" s="81"/>
      <c r="Q61" s="44"/>
      <c r="R61" s="44"/>
      <c r="S61" s="44"/>
    </row>
    <row r="62" spans="1:19" s="687" customFormat="1" ht="16" thickBot="1" x14ac:dyDescent="0.4">
      <c r="B62" s="822"/>
      <c r="C62" s="198"/>
      <c r="D62" s="198"/>
      <c r="E62" s="199"/>
      <c r="F62" s="200"/>
      <c r="G62" s="75"/>
      <c r="H62" s="43"/>
      <c r="I62" s="43"/>
      <c r="J62" s="44"/>
      <c r="L62" s="81"/>
      <c r="M62" s="81"/>
      <c r="N62" s="81"/>
      <c r="O62" s="81"/>
      <c r="P62" s="81"/>
      <c r="Q62" s="44"/>
      <c r="R62" s="44"/>
      <c r="S62" s="44"/>
    </row>
    <row r="63" spans="1:19" s="687" customFormat="1" ht="15" thickBot="1" x14ac:dyDescent="0.4">
      <c r="B63" s="83"/>
      <c r="C63" s="1836" t="s">
        <v>511</v>
      </c>
      <c r="D63" s="1839"/>
      <c r="E63" s="1839"/>
      <c r="F63" s="1839"/>
      <c r="G63" s="1837"/>
      <c r="H63" s="43"/>
      <c r="I63" s="43"/>
      <c r="J63" s="44"/>
      <c r="L63" s="81"/>
      <c r="M63" s="81"/>
      <c r="N63" s="81"/>
      <c r="O63" s="81"/>
      <c r="P63" s="81"/>
      <c r="Q63" s="44"/>
      <c r="R63" s="44"/>
      <c r="S63" s="44"/>
    </row>
    <row r="64" spans="1:19" s="687" customFormat="1" ht="15" thickBot="1" x14ac:dyDescent="0.4">
      <c r="B64" s="83"/>
      <c r="C64" s="941"/>
      <c r="D64" s="942"/>
      <c r="E64" s="943" t="s">
        <v>512</v>
      </c>
      <c r="F64" s="944">
        <f>F24+F52</f>
        <v>319300</v>
      </c>
      <c r="G64" s="945" t="s">
        <v>176</v>
      </c>
      <c r="H64" s="43"/>
      <c r="I64" s="43"/>
      <c r="J64" s="44"/>
      <c r="L64" s="81"/>
      <c r="M64" s="81"/>
      <c r="N64" s="81"/>
      <c r="O64" s="81"/>
      <c r="P64" s="81"/>
      <c r="Q64" s="44"/>
      <c r="R64" s="44"/>
      <c r="S64" s="44"/>
    </row>
    <row r="65" spans="1:19" s="687" customFormat="1" ht="15" thickBot="1" x14ac:dyDescent="0.4">
      <c r="C65" s="277"/>
      <c r="D65" s="278"/>
      <c r="E65" s="279" t="s">
        <v>513</v>
      </c>
      <c r="F65" s="782">
        <f>F26+F54</f>
        <v>1694205.7999999998</v>
      </c>
      <c r="G65" s="280" t="s">
        <v>495</v>
      </c>
      <c r="H65" s="43"/>
      <c r="I65" s="43"/>
      <c r="J65" s="44"/>
      <c r="L65" s="81"/>
      <c r="M65" s="81"/>
      <c r="N65" s="81"/>
      <c r="O65" s="81"/>
      <c r="P65" s="81"/>
      <c r="Q65" s="44"/>
      <c r="R65" s="44"/>
      <c r="S65" s="44"/>
    </row>
    <row r="66" spans="1:19" s="687" customFormat="1" x14ac:dyDescent="0.35">
      <c r="C66" s="521"/>
      <c r="D66" s="219"/>
      <c r="E66" s="219"/>
      <c r="F66" s="785">
        <f>F65*2.2046</f>
        <v>3735046.1066799997</v>
      </c>
      <c r="G66" s="789" t="s">
        <v>496</v>
      </c>
      <c r="H66" s="43"/>
      <c r="I66" s="43"/>
      <c r="J66" s="44"/>
      <c r="L66" s="81"/>
      <c r="M66" s="81"/>
      <c r="N66" s="81"/>
      <c r="O66" s="81"/>
      <c r="P66" s="81"/>
      <c r="Q66" s="44"/>
      <c r="R66" s="44"/>
      <c r="S66" s="44"/>
    </row>
    <row r="67" spans="1:19" s="687" customFormat="1" x14ac:dyDescent="0.35">
      <c r="C67" s="521"/>
      <c r="D67" s="219"/>
      <c r="E67" s="219"/>
      <c r="F67" s="785">
        <f>F66/2000</f>
        <v>1867.5230533399999</v>
      </c>
      <c r="G67" s="789" t="s">
        <v>497</v>
      </c>
      <c r="H67" s="43"/>
      <c r="I67" s="43"/>
      <c r="J67" s="44"/>
      <c r="L67" s="81"/>
      <c r="M67" s="81"/>
      <c r="N67" s="81"/>
      <c r="O67" s="81"/>
      <c r="P67" s="81"/>
      <c r="Q67" s="44"/>
      <c r="R67" s="44"/>
      <c r="S67" s="44"/>
    </row>
    <row r="68" spans="1:19" s="687" customFormat="1" ht="15" thickBot="1" x14ac:dyDescent="0.4">
      <c r="C68" s="159"/>
      <c r="D68" s="83"/>
      <c r="E68" s="198" t="s">
        <v>276</v>
      </c>
      <c r="F68" s="786">
        <f>'Brewery-Control Data'!$H$10</f>
        <v>211225.97753999999</v>
      </c>
      <c r="G68" s="790" t="s">
        <v>125</v>
      </c>
      <c r="H68" s="43"/>
      <c r="I68" s="43"/>
      <c r="J68" s="44"/>
      <c r="L68" s="81"/>
      <c r="M68" s="81"/>
      <c r="N68" s="81"/>
      <c r="O68" s="81"/>
      <c r="P68" s="81"/>
      <c r="Q68" s="44"/>
      <c r="R68" s="44"/>
      <c r="S68" s="44"/>
    </row>
    <row r="69" spans="1:19" s="687" customFormat="1" ht="15" thickBot="1" x14ac:dyDescent="0.4">
      <c r="C69" s="333"/>
      <c r="D69" s="334"/>
      <c r="E69" s="335" t="s">
        <v>513</v>
      </c>
      <c r="F69" s="336">
        <f>F65/F68</f>
        <v>8.0208212064217665</v>
      </c>
      <c r="G69" s="337" t="s">
        <v>498</v>
      </c>
      <c r="H69" s="43"/>
      <c r="I69" s="43"/>
      <c r="J69" s="44"/>
      <c r="L69" s="81"/>
      <c r="M69" s="81"/>
      <c r="N69" s="81"/>
      <c r="O69" s="81"/>
      <c r="P69" s="81"/>
      <c r="Q69" s="44"/>
      <c r="R69" s="44"/>
      <c r="S69" s="44"/>
    </row>
    <row r="70" spans="1:19" s="687" customFormat="1" x14ac:dyDescent="0.35">
      <c r="B70" s="83"/>
      <c r="C70" s="198"/>
      <c r="D70" s="198"/>
      <c r="E70" s="199"/>
      <c r="F70" s="200"/>
      <c r="G70" s="75"/>
      <c r="H70" s="43"/>
      <c r="I70" s="43"/>
      <c r="J70" s="44"/>
      <c r="L70" s="81"/>
      <c r="M70" s="81"/>
      <c r="N70" s="81"/>
      <c r="O70" s="81"/>
      <c r="P70" s="81"/>
      <c r="Q70" s="44"/>
      <c r="R70" s="44"/>
      <c r="S70" s="44"/>
    </row>
    <row r="71" spans="1:19" s="687" customFormat="1" x14ac:dyDescent="0.35">
      <c r="B71" s="83"/>
      <c r="C71" s="198"/>
      <c r="D71" s="198"/>
      <c r="E71" s="199"/>
      <c r="F71" s="200"/>
      <c r="G71" s="75"/>
      <c r="H71" s="43"/>
      <c r="I71" s="43"/>
      <c r="J71" s="44"/>
      <c r="L71" s="81"/>
      <c r="M71" s="81"/>
      <c r="N71" s="81"/>
      <c r="O71" s="81"/>
      <c r="P71" s="81"/>
      <c r="Q71" s="44"/>
      <c r="R71" s="44"/>
      <c r="S71" s="44"/>
    </row>
    <row r="72" spans="1:19" x14ac:dyDescent="0.35">
      <c r="B72" s="83"/>
      <c r="C72" s="198"/>
      <c r="D72" s="198"/>
      <c r="E72" s="199"/>
      <c r="F72" s="200"/>
      <c r="G72" s="75"/>
      <c r="H72" s="43"/>
      <c r="I72" s="43"/>
      <c r="J72" s="44"/>
      <c r="K72" s="687"/>
      <c r="L72" s="81"/>
      <c r="M72" s="81"/>
      <c r="N72" s="81"/>
      <c r="O72" s="81"/>
      <c r="P72" s="81"/>
      <c r="Q72" s="43"/>
      <c r="R72" s="689"/>
      <c r="S72" s="687"/>
    </row>
    <row r="73" spans="1:19" x14ac:dyDescent="0.35">
      <c r="B73" s="83"/>
      <c r="C73" s="198"/>
      <c r="D73" s="198"/>
      <c r="E73" s="199"/>
      <c r="F73" s="200"/>
      <c r="G73" s="75"/>
      <c r="H73" s="43"/>
      <c r="I73" s="43"/>
      <c r="J73" s="44"/>
      <c r="K73" s="687"/>
      <c r="L73" s="81"/>
      <c r="M73" s="81"/>
      <c r="N73" s="81"/>
      <c r="O73" s="81"/>
      <c r="P73" s="81"/>
      <c r="Q73" s="43"/>
      <c r="R73" s="689"/>
      <c r="S73" s="687"/>
    </row>
    <row r="74" spans="1:19" ht="15" thickBot="1" x14ac:dyDescent="0.4">
      <c r="A74" s="916" t="s">
        <v>514</v>
      </c>
      <c r="B74" s="916"/>
      <c r="C74" s="916"/>
      <c r="D74" s="916"/>
      <c r="E74" s="200"/>
      <c r="F74" s="687"/>
      <c r="G74" s="75"/>
      <c r="H74" s="43"/>
      <c r="I74" s="43"/>
      <c r="J74" s="44"/>
      <c r="K74" s="687"/>
      <c r="L74" s="81"/>
      <c r="M74" s="81"/>
      <c r="N74" s="81"/>
      <c r="O74" s="81"/>
      <c r="P74" s="81"/>
      <c r="Q74" s="44"/>
      <c r="R74" s="687"/>
      <c r="S74" s="687"/>
    </row>
    <row r="75" spans="1:19" ht="15" thickTop="1" x14ac:dyDescent="0.35">
      <c r="A75" s="269"/>
      <c r="B75" s="267"/>
      <c r="C75" s="267"/>
      <c r="D75" s="268"/>
      <c r="E75" s="264"/>
      <c r="F75" s="687"/>
      <c r="G75" s="265"/>
      <c r="H75" s="262"/>
      <c r="I75" s="262"/>
      <c r="J75" s="223"/>
      <c r="K75" s="690"/>
      <c r="L75" s="266"/>
      <c r="M75" s="266"/>
      <c r="N75" s="266"/>
      <c r="O75" s="266"/>
      <c r="P75" s="266"/>
      <c r="Q75" s="44"/>
      <c r="R75" s="687"/>
      <c r="S75" s="687"/>
    </row>
    <row r="76" spans="1:19" x14ac:dyDescent="0.35">
      <c r="A76" s="270" t="s">
        <v>515</v>
      </c>
      <c r="B76" s="220"/>
      <c r="C76" s="220"/>
      <c r="D76" s="220"/>
      <c r="E76" s="264"/>
      <c r="F76" s="687"/>
      <c r="G76" s="265"/>
      <c r="H76" s="262"/>
      <c r="I76" s="262"/>
      <c r="J76" s="223"/>
      <c r="K76" s="690"/>
      <c r="L76" s="266"/>
      <c r="M76" s="266"/>
      <c r="N76" s="266"/>
      <c r="O76" s="266"/>
      <c r="P76" s="266"/>
      <c r="Q76" s="44"/>
      <c r="R76" s="687"/>
      <c r="S76" s="687"/>
    </row>
    <row r="77" spans="1:19" x14ac:dyDescent="0.35">
      <c r="B77" s="223" t="s">
        <v>516</v>
      </c>
      <c r="C77" s="267"/>
      <c r="D77" s="268"/>
      <c r="E77" s="264"/>
      <c r="F77" s="687"/>
      <c r="G77" s="265"/>
      <c r="H77" s="262"/>
      <c r="I77" s="262"/>
      <c r="J77" s="223"/>
      <c r="K77" s="690"/>
      <c r="L77" s="266"/>
      <c r="M77" s="266"/>
      <c r="N77" s="266"/>
      <c r="O77" s="266"/>
      <c r="P77" s="266"/>
      <c r="Q77" s="44"/>
      <c r="R77" s="687"/>
      <c r="S77" s="687"/>
    </row>
    <row r="78" spans="1:19" x14ac:dyDescent="0.35">
      <c r="B78" s="267"/>
      <c r="C78" s="223" t="s">
        <v>517</v>
      </c>
      <c r="D78" s="268"/>
      <c r="E78" s="264"/>
      <c r="F78" s="687"/>
      <c r="G78" s="265"/>
      <c r="H78" s="262"/>
      <c r="I78" s="262"/>
      <c r="J78" s="223"/>
      <c r="K78" s="690"/>
      <c r="L78" s="266"/>
      <c r="M78" s="266"/>
      <c r="N78" s="266"/>
      <c r="O78" s="266"/>
      <c r="P78" s="266"/>
      <c r="Q78" s="44"/>
      <c r="R78" s="687"/>
      <c r="S78" s="687"/>
    </row>
    <row r="79" spans="1:19" x14ac:dyDescent="0.35">
      <c r="B79" s="267"/>
      <c r="C79" s="696" t="s">
        <v>518</v>
      </c>
      <c r="D79" s="268"/>
      <c r="E79" s="264"/>
      <c r="F79" s="687"/>
      <c r="G79" s="265"/>
      <c r="H79" s="262"/>
      <c r="I79" s="262"/>
      <c r="J79" s="223"/>
      <c r="K79" s="690"/>
      <c r="L79" s="266"/>
      <c r="M79" s="266"/>
      <c r="N79" s="266"/>
      <c r="O79" s="266"/>
      <c r="P79" s="266"/>
      <c r="Q79" s="44"/>
      <c r="R79" s="687"/>
      <c r="S79" s="687"/>
    </row>
    <row r="80" spans="1:19" x14ac:dyDescent="0.35">
      <c r="B80" s="267"/>
      <c r="C80" s="687"/>
      <c r="D80" s="268"/>
      <c r="E80" s="264"/>
      <c r="F80" s="687"/>
      <c r="G80" s="265"/>
      <c r="H80" s="262"/>
      <c r="I80" s="262"/>
      <c r="J80" s="223"/>
      <c r="K80" s="690"/>
      <c r="L80" s="266"/>
      <c r="M80" s="266"/>
      <c r="N80" s="266"/>
      <c r="O80" s="266"/>
      <c r="P80" s="266"/>
      <c r="Q80" s="44"/>
      <c r="R80" s="687"/>
      <c r="S80" s="687"/>
    </row>
    <row r="81" spans="1:19" x14ac:dyDescent="0.35">
      <c r="B81" s="267"/>
      <c r="C81" s="223"/>
      <c r="D81" s="268"/>
      <c r="E81" s="264"/>
      <c r="F81" s="687"/>
      <c r="G81" s="265"/>
      <c r="H81" s="262"/>
      <c r="I81" s="262"/>
      <c r="J81" s="223"/>
      <c r="K81" s="690"/>
      <c r="L81" s="266"/>
      <c r="M81" s="266"/>
      <c r="N81" s="266"/>
      <c r="O81" s="266"/>
      <c r="P81" s="266"/>
      <c r="Q81" s="44"/>
      <c r="R81" s="687"/>
      <c r="S81" s="687"/>
    </row>
    <row r="82" spans="1:19" ht="16" thickBot="1" x14ac:dyDescent="0.4">
      <c r="A82" s="1678"/>
      <c r="B82" s="1678"/>
      <c r="C82" s="1678"/>
      <c r="D82" s="1678"/>
      <c r="E82" s="1678"/>
      <c r="F82" s="1678"/>
      <c r="G82" s="1678"/>
      <c r="H82" s="1678"/>
      <c r="I82" s="1678"/>
      <c r="J82" s="1678"/>
      <c r="K82" s="1678"/>
      <c r="L82" s="1678"/>
      <c r="M82" s="1678"/>
      <c r="N82" s="1678"/>
      <c r="O82" s="1678"/>
      <c r="P82" s="1679" t="s">
        <v>72</v>
      </c>
      <c r="Q82" s="44"/>
      <c r="R82" s="687"/>
      <c r="S82" s="687"/>
    </row>
    <row r="83" spans="1:19" ht="15" thickTop="1" x14ac:dyDescent="0.35">
      <c r="A83" s="87"/>
      <c r="B83" s="87"/>
      <c r="C83" s="87"/>
      <c r="D83" s="87"/>
      <c r="E83" s="87"/>
      <c r="F83" s="87"/>
      <c r="G83" s="87"/>
      <c r="H83" s="87"/>
      <c r="I83" s="87"/>
      <c r="J83" s="87"/>
      <c r="K83" s="87"/>
      <c r="L83" s="87"/>
      <c r="M83" s="87"/>
      <c r="N83" s="87"/>
      <c r="O83" s="87"/>
      <c r="P83" s="87"/>
      <c r="Q83" s="44"/>
      <c r="R83" s="687"/>
      <c r="S83" s="687"/>
    </row>
    <row r="84" spans="1:19" x14ac:dyDescent="0.35">
      <c r="B84" s="267"/>
      <c r="C84" s="696"/>
      <c r="D84" s="268"/>
      <c r="E84" s="264"/>
      <c r="F84" s="687"/>
      <c r="G84" s="265"/>
      <c r="H84" s="262"/>
      <c r="I84" s="262"/>
      <c r="J84" s="223"/>
      <c r="K84" s="690"/>
      <c r="L84" s="266"/>
      <c r="M84" s="266"/>
      <c r="N84" s="266"/>
      <c r="O84" s="266"/>
      <c r="P84" s="266"/>
      <c r="Q84" s="44"/>
      <c r="R84" s="687"/>
      <c r="S84" s="687"/>
    </row>
    <row r="85" spans="1:19" x14ac:dyDescent="0.35">
      <c r="A85" s="696"/>
      <c r="B85" s="267"/>
      <c r="C85" s="267"/>
      <c r="D85" s="268"/>
      <c r="E85" s="264"/>
      <c r="F85" s="687"/>
      <c r="G85" s="265"/>
      <c r="H85" s="262"/>
      <c r="I85" s="262"/>
      <c r="J85" s="223"/>
      <c r="K85" s="690"/>
      <c r="L85" s="266"/>
      <c r="M85" s="266"/>
      <c r="N85" s="266"/>
      <c r="O85" s="266"/>
      <c r="P85" s="266"/>
      <c r="Q85" s="44"/>
      <c r="R85" s="687"/>
      <c r="S85" s="687"/>
    </row>
    <row r="86" spans="1:19" x14ac:dyDescent="0.35">
      <c r="A86" s="269"/>
      <c r="B86" s="267"/>
      <c r="C86" s="267"/>
      <c r="D86" s="268"/>
      <c r="E86" s="264"/>
      <c r="F86" s="687"/>
      <c r="G86" s="265"/>
      <c r="H86" s="262"/>
      <c r="I86" s="262"/>
      <c r="J86" s="223"/>
      <c r="K86" s="690"/>
      <c r="L86" s="266"/>
      <c r="M86" s="266"/>
      <c r="N86" s="266"/>
      <c r="O86" s="266"/>
      <c r="P86" s="266"/>
      <c r="Q86" s="44"/>
      <c r="R86" s="687"/>
      <c r="S86" s="687"/>
    </row>
    <row r="87" spans="1:19" x14ac:dyDescent="0.35">
      <c r="A87" s="917"/>
      <c r="B87" s="917"/>
      <c r="C87" s="917"/>
      <c r="D87" s="917"/>
      <c r="E87" s="917"/>
      <c r="F87" s="687"/>
      <c r="G87" s="917"/>
      <c r="H87" s="917"/>
      <c r="I87" s="917"/>
      <c r="J87" s="917"/>
      <c r="K87" s="917"/>
      <c r="L87" s="917"/>
      <c r="M87" s="917"/>
      <c r="N87" s="917"/>
      <c r="O87" s="917"/>
      <c r="P87" s="917"/>
      <c r="Q87" s="44"/>
      <c r="R87" s="687"/>
      <c r="S87" s="687"/>
    </row>
    <row r="88" spans="1:19" x14ac:dyDescent="0.35">
      <c r="B88" s="44"/>
      <c r="C88" s="44"/>
      <c r="D88" s="44"/>
      <c r="E88" s="44"/>
      <c r="F88" s="44"/>
      <c r="G88" s="44"/>
      <c r="H88" s="44"/>
      <c r="I88" s="44"/>
      <c r="J88" s="44"/>
      <c r="K88" s="44"/>
      <c r="L88" s="44"/>
      <c r="M88" s="44"/>
      <c r="N88" s="44"/>
      <c r="O88" s="44"/>
      <c r="P88" s="44"/>
      <c r="Q88" s="44"/>
      <c r="R88" s="687"/>
      <c r="S88" s="687"/>
    </row>
    <row r="89" spans="1:19" x14ac:dyDescent="0.35">
      <c r="B89" s="44"/>
      <c r="C89" s="44"/>
      <c r="D89" s="44"/>
      <c r="E89" s="44"/>
      <c r="F89" s="44"/>
      <c r="G89" s="44"/>
      <c r="H89" s="44"/>
      <c r="I89" s="44"/>
      <c r="J89" s="44"/>
      <c r="K89" s="44"/>
      <c r="L89" s="44"/>
      <c r="M89" s="44"/>
      <c r="N89" s="44"/>
      <c r="O89" s="44"/>
      <c r="P89" s="44"/>
      <c r="Q89" s="44"/>
      <c r="R89" s="687"/>
      <c r="S89" s="687"/>
    </row>
    <row r="90" spans="1:19" x14ac:dyDescent="0.35">
      <c r="B90" s="44"/>
      <c r="C90" s="44"/>
      <c r="D90" s="44"/>
      <c r="E90" s="44"/>
      <c r="F90" s="44"/>
      <c r="G90" s="44"/>
      <c r="H90" s="44"/>
      <c r="I90" s="44"/>
      <c r="J90" s="44"/>
      <c r="K90" s="44"/>
      <c r="L90" s="44"/>
      <c r="M90" s="44"/>
      <c r="N90" s="44"/>
      <c r="O90" s="44"/>
      <c r="P90" s="44"/>
      <c r="Q90" s="44"/>
      <c r="R90" s="687"/>
      <c r="S90" s="687"/>
    </row>
    <row r="91" spans="1:19" x14ac:dyDescent="0.35">
      <c r="B91" s="44"/>
      <c r="C91" s="44"/>
      <c r="D91" s="44"/>
      <c r="E91" s="44"/>
      <c r="F91" s="44"/>
      <c r="G91" s="44"/>
      <c r="H91" s="44"/>
      <c r="I91" s="44"/>
      <c r="J91" s="44"/>
      <c r="K91" s="44"/>
      <c r="L91" s="44"/>
      <c r="M91" s="44"/>
      <c r="N91" s="44"/>
      <c r="O91" s="44"/>
      <c r="P91" s="44"/>
      <c r="Q91" s="44"/>
      <c r="R91" s="687"/>
      <c r="S91" s="687"/>
    </row>
    <row r="92" spans="1:19" x14ac:dyDescent="0.35">
      <c r="B92" s="44"/>
      <c r="C92" s="44"/>
      <c r="D92" s="44"/>
      <c r="E92" s="44"/>
      <c r="F92" s="44"/>
      <c r="G92" s="44"/>
      <c r="H92" s="44"/>
      <c r="I92" s="44"/>
      <c r="J92" s="44"/>
      <c r="K92" s="44"/>
      <c r="L92" s="44"/>
      <c r="M92" s="44"/>
      <c r="N92" s="44"/>
      <c r="O92" s="44"/>
      <c r="P92" s="44"/>
      <c r="Q92" s="44"/>
      <c r="R92" s="687"/>
      <c r="S92" s="687"/>
    </row>
    <row r="93" spans="1:19" x14ac:dyDescent="0.35">
      <c r="B93" s="44"/>
      <c r="C93" s="44"/>
      <c r="D93" s="44"/>
      <c r="E93" s="44"/>
      <c r="F93" s="44"/>
      <c r="G93" s="44"/>
      <c r="H93" s="44"/>
      <c r="I93" s="44"/>
      <c r="J93" s="44"/>
      <c r="K93" s="44"/>
      <c r="L93" s="44"/>
      <c r="M93" s="44"/>
      <c r="N93" s="44"/>
      <c r="O93" s="44"/>
      <c r="P93" s="44"/>
      <c r="Q93" s="44"/>
      <c r="R93" s="687"/>
      <c r="S93" s="687"/>
    </row>
    <row r="102" spans="2:17" x14ac:dyDescent="0.35">
      <c r="B102" s="5"/>
      <c r="C102" s="687"/>
      <c r="D102" s="687"/>
      <c r="E102" s="687"/>
      <c r="F102" s="687"/>
      <c r="G102" s="687"/>
      <c r="H102" s="687"/>
      <c r="I102" s="687"/>
      <c r="J102" s="687"/>
      <c r="K102" s="687"/>
      <c r="L102" s="687"/>
      <c r="M102" s="687"/>
      <c r="N102" s="687"/>
      <c r="O102" s="687"/>
      <c r="P102" s="687"/>
      <c r="Q102" s="687"/>
    </row>
    <row r="103" spans="2:17" x14ac:dyDescent="0.35">
      <c r="B103" s="5"/>
      <c r="C103" s="687"/>
      <c r="D103" s="687"/>
      <c r="E103" s="687"/>
      <c r="F103" s="687"/>
      <c r="G103" s="687"/>
      <c r="H103" s="687"/>
      <c r="I103" s="687"/>
      <c r="J103" s="687"/>
      <c r="K103" s="687"/>
      <c r="L103" s="687"/>
      <c r="M103" s="687"/>
      <c r="N103" s="687"/>
      <c r="O103" s="687"/>
      <c r="P103" s="687"/>
      <c r="Q103" s="687"/>
    </row>
    <row r="104" spans="2:17" x14ac:dyDescent="0.35">
      <c r="B104" s="5"/>
      <c r="C104" s="5"/>
      <c r="D104" s="5"/>
      <c r="E104" s="5"/>
      <c r="F104" s="5"/>
      <c r="G104" s="5"/>
      <c r="H104" s="5"/>
      <c r="I104" s="687"/>
      <c r="J104" s="687"/>
      <c r="K104" s="687"/>
      <c r="L104" s="687"/>
      <c r="M104" s="687"/>
      <c r="N104" s="687"/>
      <c r="O104" s="687"/>
      <c r="P104" s="687"/>
      <c r="Q104" s="687"/>
    </row>
  </sheetData>
  <mergeCells count="3">
    <mergeCell ref="C63:G63"/>
    <mergeCell ref="A1:Q1"/>
    <mergeCell ref="J3:Q5"/>
  </mergeCells>
  <phoneticPr fontId="44" type="noConversion"/>
  <hyperlinks>
    <hyperlink ref="C79" r:id="rId1" xr:uid="{C6DC3D73-0553-40FA-8874-FFB7D4ECA0D1}"/>
    <hyperlink ref="B4" location="'Glossary-FAQs'!A1" display="Glossary/FAQ" xr:uid="{E435DF7E-866F-48F8-85C7-2C51AD01735C}"/>
    <hyperlink ref="C3" location="'Welcome'!C15" display="  = Data entry needed. See color legend on Welcome tab for more info.  " xr:uid="{DE77EE18-C78E-45A9-B4D0-D13A8258513E}"/>
  </hyperlinks>
  <pageMargins left="0.7" right="0.7" top="0.75" bottom="0.75" header="0.3" footer="0.3"/>
  <pageSetup scale="25"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70C0"/>
  </sheetPr>
  <dimension ref="A1:V49"/>
  <sheetViews>
    <sheetView zoomScaleNormal="100" workbookViewId="0">
      <selection activeCell="A45" sqref="A44:XFD45"/>
    </sheetView>
  </sheetViews>
  <sheetFormatPr defaultColWidth="8.81640625" defaultRowHeight="14.5" x14ac:dyDescent="0.35"/>
  <cols>
    <col min="1" max="1" width="4" customWidth="1"/>
    <col min="2" max="2" width="11.1796875" customWidth="1"/>
    <col min="4" max="4" width="9.81640625" customWidth="1"/>
    <col min="5" max="5" width="14.453125" customWidth="1"/>
    <col min="6" max="6" width="3.7265625" customWidth="1"/>
    <col min="7" max="7" width="13" customWidth="1"/>
    <col min="8" max="8" width="20" customWidth="1"/>
    <col min="9" max="9" width="12.453125" customWidth="1"/>
    <col min="10" max="10" width="12.1796875" customWidth="1"/>
    <col min="11" max="11" width="8" customWidth="1"/>
    <col min="12" max="12" width="11.1796875" customWidth="1"/>
    <col min="13" max="13" width="13.7265625" customWidth="1"/>
    <col min="14" max="14" width="14.1796875" customWidth="1"/>
    <col min="15" max="15" width="12" customWidth="1"/>
    <col min="17" max="17" width="13.453125" bestFit="1" customWidth="1"/>
    <col min="18" max="18" width="20.453125" bestFit="1" customWidth="1"/>
  </cols>
  <sheetData>
    <row r="1" spans="1:22" ht="21.5" thickBot="1" x14ac:dyDescent="0.55000000000000004">
      <c r="A1" s="1833" t="s">
        <v>519</v>
      </c>
      <c r="B1" s="1834"/>
      <c r="C1" s="1834"/>
      <c r="D1" s="1834"/>
      <c r="E1" s="1834"/>
      <c r="F1" s="1834"/>
      <c r="G1" s="1834"/>
      <c r="H1" s="1834"/>
      <c r="I1" s="1834"/>
      <c r="J1" s="1834"/>
      <c r="K1" s="1834"/>
      <c r="L1" s="1834"/>
      <c r="M1" s="1834"/>
      <c r="N1" s="1834"/>
      <c r="O1" s="1835"/>
      <c r="P1" s="1490"/>
      <c r="Q1" s="687"/>
      <c r="R1" s="687"/>
      <c r="S1" s="687"/>
      <c r="T1" s="687"/>
      <c r="U1" s="687"/>
      <c r="V1" s="687"/>
    </row>
    <row r="2" spans="1:22" ht="18" x14ac:dyDescent="0.4">
      <c r="A2" s="215"/>
      <c r="B2" s="208"/>
      <c r="C2" s="208"/>
      <c r="D2" s="208"/>
      <c r="E2" s="208"/>
      <c r="F2" s="208"/>
      <c r="G2" s="208"/>
      <c r="H2" s="208"/>
      <c r="I2" s="1550" t="s">
        <v>264</v>
      </c>
      <c r="J2" s="208"/>
      <c r="K2" s="208"/>
      <c r="L2" s="208"/>
      <c r="M2" s="687"/>
      <c r="N2" s="687"/>
      <c r="O2" s="687"/>
      <c r="P2" s="687"/>
      <c r="Q2" s="687"/>
      <c r="R2" s="687"/>
      <c r="S2" s="687"/>
      <c r="T2" s="687"/>
      <c r="U2" s="687"/>
      <c r="V2" s="687"/>
    </row>
    <row r="3" spans="1:22" x14ac:dyDescent="0.35">
      <c r="A3" s="209"/>
      <c r="B3" s="1850" t="s">
        <v>265</v>
      </c>
      <c r="C3" s="1851"/>
      <c r="D3" s="1617" t="s">
        <v>432</v>
      </c>
      <c r="E3" s="250"/>
      <c r="F3" s="250"/>
      <c r="G3" s="250"/>
      <c r="H3" s="250"/>
      <c r="I3" s="1849" t="s">
        <v>520</v>
      </c>
      <c r="J3" s="1849"/>
      <c r="K3" s="1849"/>
      <c r="L3" s="1849"/>
      <c r="M3" s="1849"/>
      <c r="N3" s="1849"/>
      <c r="O3" s="1849"/>
      <c r="P3" s="687"/>
      <c r="Q3" s="687"/>
      <c r="R3" s="687"/>
      <c r="S3" s="687"/>
      <c r="T3" s="687"/>
      <c r="U3" s="687"/>
      <c r="V3" s="687"/>
    </row>
    <row r="4" spans="1:22" x14ac:dyDescent="0.35">
      <c r="A4" s="687"/>
      <c r="B4" s="1848" t="s">
        <v>268</v>
      </c>
      <c r="C4" s="1848"/>
      <c r="D4" s="44"/>
      <c r="E4" s="44"/>
      <c r="F4" s="44"/>
      <c r="G4" s="44"/>
      <c r="H4" s="44"/>
      <c r="I4" s="1849"/>
      <c r="J4" s="1849"/>
      <c r="K4" s="1849"/>
      <c r="L4" s="1849"/>
      <c r="M4" s="1849"/>
      <c r="N4" s="1849"/>
      <c r="O4" s="1849"/>
      <c r="P4" s="44"/>
      <c r="Q4" s="687"/>
      <c r="R4" s="44"/>
      <c r="S4" s="44"/>
      <c r="T4" s="44"/>
      <c r="U4" s="44"/>
      <c r="V4" s="44"/>
    </row>
    <row r="5" spans="1:22" ht="33" customHeight="1" x14ac:dyDescent="0.35">
      <c r="A5" s="44"/>
      <c r="B5" s="1547"/>
      <c r="C5" s="44"/>
      <c r="D5" s="44"/>
      <c r="E5" s="44"/>
      <c r="F5" s="44"/>
      <c r="G5" s="44"/>
      <c r="H5" s="44"/>
      <c r="I5" s="1849"/>
      <c r="J5" s="1849"/>
      <c r="K5" s="1849"/>
      <c r="L5" s="1849"/>
      <c r="M5" s="1849"/>
      <c r="N5" s="1849"/>
      <c r="O5" s="1849"/>
      <c r="P5" s="44"/>
      <c r="Q5" s="687"/>
      <c r="R5" s="44"/>
      <c r="S5" s="44"/>
      <c r="T5" s="44"/>
      <c r="U5" s="44"/>
      <c r="V5" s="44"/>
    </row>
    <row r="6" spans="1:22" x14ac:dyDescent="0.35">
      <c r="A6" s="687"/>
      <c r="B6" s="687"/>
      <c r="C6" s="687"/>
      <c r="D6" s="687"/>
      <c r="E6" s="687"/>
      <c r="F6" s="687"/>
      <c r="G6" s="687"/>
      <c r="H6" s="687"/>
      <c r="I6" s="687"/>
      <c r="J6" s="687"/>
      <c r="K6" s="687"/>
      <c r="L6" s="687"/>
      <c r="M6" s="687"/>
      <c r="N6" s="687"/>
      <c r="O6" s="687"/>
      <c r="P6" s="687"/>
      <c r="Q6" s="687"/>
      <c r="R6" s="687"/>
      <c r="S6" s="687"/>
      <c r="T6" s="687"/>
      <c r="U6" s="687"/>
      <c r="V6" s="687"/>
    </row>
    <row r="7" spans="1:22" ht="15" thickBot="1" x14ac:dyDescent="0.4">
      <c r="A7" s="687"/>
      <c r="B7" s="1836" t="str">
        <f>(brew1_abb&amp;" Biogas/Flare Data")</f>
        <v>MAIN Biogas/Flare Data</v>
      </c>
      <c r="C7" s="1839"/>
      <c r="D7" s="1839"/>
      <c r="E7" s="1837"/>
      <c r="F7" s="687"/>
      <c r="G7" s="1836" t="str">
        <f>(brew1_abb&amp;" Flare Methane Emissions")</f>
        <v>MAIN Flare Methane Emissions</v>
      </c>
      <c r="H7" s="1839"/>
      <c r="I7" s="1839"/>
      <c r="J7" s="1837"/>
      <c r="K7" s="687"/>
      <c r="L7" s="1836" t="str">
        <f>(brew2_abb&amp;" Flare Methane Emissions")</f>
        <v>2ND Flare Methane Emissions</v>
      </c>
      <c r="M7" s="1839"/>
      <c r="N7" s="1839"/>
      <c r="O7" s="1837"/>
      <c r="P7" s="687"/>
      <c r="Q7" s="687"/>
      <c r="R7" s="687"/>
      <c r="S7" s="687"/>
      <c r="T7" s="687"/>
      <c r="U7" s="687"/>
      <c r="V7" s="687"/>
    </row>
    <row r="8" spans="1:22" x14ac:dyDescent="0.35">
      <c r="A8" s="689"/>
      <c r="B8" s="211">
        <v>150</v>
      </c>
      <c r="C8" s="326" t="s">
        <v>521</v>
      </c>
      <c r="D8" s="43"/>
      <c r="E8" s="141"/>
      <c r="F8" s="687"/>
      <c r="G8" s="212">
        <f>B10</f>
        <v>135000</v>
      </c>
      <c r="H8" s="16" t="s">
        <v>522</v>
      </c>
      <c r="I8" s="16"/>
      <c r="J8" s="625"/>
      <c r="K8" s="687"/>
      <c r="L8" s="212">
        <f>B17</f>
        <v>144000</v>
      </c>
      <c r="M8" s="16" t="s">
        <v>522</v>
      </c>
      <c r="N8" s="16"/>
      <c r="O8" s="625"/>
      <c r="P8" s="687"/>
      <c r="Q8" s="687"/>
      <c r="R8" s="687"/>
      <c r="S8" s="687"/>
      <c r="T8" s="687"/>
      <c r="U8" s="687"/>
      <c r="V8" s="687"/>
    </row>
    <row r="9" spans="1:22" x14ac:dyDescent="0.35">
      <c r="A9" s="687"/>
      <c r="B9" s="624">
        <v>900</v>
      </c>
      <c r="C9" s="43" t="s">
        <v>523</v>
      </c>
      <c r="D9" s="43"/>
      <c r="E9" s="141"/>
      <c r="F9" s="687"/>
      <c r="G9" s="636">
        <v>0.75</v>
      </c>
      <c r="H9" s="16" t="s">
        <v>524</v>
      </c>
      <c r="I9" s="16"/>
      <c r="J9" s="625"/>
      <c r="K9" s="687"/>
      <c r="L9" s="636">
        <v>0.75</v>
      </c>
      <c r="M9" s="16" t="s">
        <v>524</v>
      </c>
      <c r="N9" s="16"/>
      <c r="O9" s="625"/>
      <c r="P9" s="687"/>
      <c r="Q9" s="687"/>
      <c r="R9" s="687"/>
      <c r="S9" s="687"/>
      <c r="T9" s="687"/>
      <c r="U9" s="687"/>
      <c r="V9" s="687"/>
    </row>
    <row r="10" spans="1:22" ht="15" thickBot="1" x14ac:dyDescent="0.4">
      <c r="A10" s="687"/>
      <c r="B10" s="793">
        <f>B9*B8</f>
        <v>135000</v>
      </c>
      <c r="C10" s="794" t="s">
        <v>525</v>
      </c>
      <c r="D10" s="147"/>
      <c r="E10" s="148"/>
      <c r="F10" s="687"/>
      <c r="G10" s="212">
        <f>G9*G8</f>
        <v>101250</v>
      </c>
      <c r="H10" s="16" t="s">
        <v>526</v>
      </c>
      <c r="I10" s="16"/>
      <c r="J10" s="625"/>
      <c r="K10" s="687"/>
      <c r="L10" s="212">
        <f>L9*L8</f>
        <v>108000</v>
      </c>
      <c r="M10" s="16" t="s">
        <v>526</v>
      </c>
      <c r="N10" s="16"/>
      <c r="O10" s="625"/>
      <c r="P10" s="687"/>
      <c r="Q10" s="687"/>
      <c r="R10" s="687"/>
      <c r="S10" s="687"/>
      <c r="T10" s="687"/>
      <c r="U10" s="687"/>
      <c r="V10" s="687"/>
    </row>
    <row r="11" spans="1:22" x14ac:dyDescent="0.35">
      <c r="A11" s="687"/>
      <c r="B11" s="213"/>
      <c r="C11" s="43"/>
      <c r="D11" s="43"/>
      <c r="E11" s="43"/>
      <c r="F11" s="687"/>
      <c r="G11" s="626">
        <f>'Brewery-Control Data'!L44</f>
        <v>35.314999999999998</v>
      </c>
      <c r="H11" s="16" t="s">
        <v>527</v>
      </c>
      <c r="I11" s="326"/>
      <c r="J11" s="520"/>
      <c r="K11" s="687"/>
      <c r="L11" s="626">
        <f>'Brewery-Control Data'!L44</f>
        <v>35.314999999999998</v>
      </c>
      <c r="M11" s="16" t="s">
        <v>527</v>
      </c>
      <c r="N11" s="326"/>
      <c r="O11" s="520"/>
      <c r="P11" s="687"/>
      <c r="Q11" s="1131"/>
      <c r="R11" s="687"/>
      <c r="S11" s="687"/>
      <c r="T11" s="687"/>
      <c r="U11" s="687"/>
      <c r="V11" s="687"/>
    </row>
    <row r="12" spans="1:22" x14ac:dyDescent="0.35">
      <c r="A12" s="687"/>
      <c r="B12" s="213"/>
      <c r="C12" s="43"/>
      <c r="D12" s="43"/>
      <c r="E12" s="43"/>
      <c r="F12" s="687"/>
      <c r="G12" s="176">
        <f>G10*G11</f>
        <v>3575643.75</v>
      </c>
      <c r="H12" s="83" t="s">
        <v>528</v>
      </c>
      <c r="I12" s="355"/>
      <c r="J12" s="625"/>
      <c r="K12" s="687"/>
      <c r="L12" s="176">
        <f>L10*L11</f>
        <v>3814019.9999999995</v>
      </c>
      <c r="M12" s="83" t="s">
        <v>528</v>
      </c>
      <c r="N12" s="355"/>
      <c r="O12" s="625"/>
      <c r="P12" s="687"/>
      <c r="Q12" s="1131"/>
      <c r="R12" s="687"/>
      <c r="S12" s="687"/>
      <c r="T12" s="687"/>
      <c r="U12" s="687"/>
      <c r="V12" s="687"/>
    </row>
    <row r="13" spans="1:22" ht="15" thickBot="1" x14ac:dyDescent="0.4">
      <c r="A13" s="687"/>
      <c r="B13" s="687"/>
      <c r="C13" s="687"/>
      <c r="D13" s="687"/>
      <c r="E13" s="687"/>
      <c r="F13" s="687"/>
      <c r="G13" s="353">
        <v>1.9259999999999999E-2</v>
      </c>
      <c r="H13" s="16" t="s">
        <v>529</v>
      </c>
      <c r="I13" s="326"/>
      <c r="J13" s="520"/>
      <c r="K13" s="687"/>
      <c r="L13" s="353">
        <v>1.9259999999999999E-2</v>
      </c>
      <c r="M13" s="16" t="s">
        <v>529</v>
      </c>
      <c r="N13" s="326"/>
      <c r="O13" s="520"/>
      <c r="P13" s="687"/>
      <c r="Q13" s="1132"/>
      <c r="R13" s="687"/>
      <c r="S13" s="687"/>
      <c r="T13" s="687"/>
      <c r="U13" s="687"/>
      <c r="V13" s="687"/>
    </row>
    <row r="14" spans="1:22" ht="15" thickBot="1" x14ac:dyDescent="0.4">
      <c r="A14" s="687"/>
      <c r="B14" s="1836" t="str">
        <f>(brew2_abb&amp;" Biogas/Flare Data")</f>
        <v>2ND Biogas/Flare Data</v>
      </c>
      <c r="C14" s="1839"/>
      <c r="D14" s="1839"/>
      <c r="E14" s="1837"/>
      <c r="F14" s="687"/>
      <c r="G14" s="212">
        <f>G12*G13</f>
        <v>68866.898625000002</v>
      </c>
      <c r="H14" s="16" t="s">
        <v>530</v>
      </c>
      <c r="I14" s="129"/>
      <c r="J14" s="625"/>
      <c r="K14" s="687"/>
      <c r="L14" s="212">
        <f>L12*L13</f>
        <v>73458.025199999989</v>
      </c>
      <c r="M14" s="16" t="s">
        <v>530</v>
      </c>
      <c r="N14" s="129"/>
      <c r="O14" s="625"/>
      <c r="P14" s="687"/>
      <c r="Q14" s="1131"/>
      <c r="R14" s="687"/>
      <c r="S14" s="687"/>
      <c r="T14" s="687"/>
      <c r="U14" s="687"/>
      <c r="V14" s="687"/>
    </row>
    <row r="15" spans="1:22" x14ac:dyDescent="0.35">
      <c r="A15" s="687"/>
      <c r="B15" s="211">
        <v>120</v>
      </c>
      <c r="C15" s="326" t="s">
        <v>521</v>
      </c>
      <c r="D15" s="43"/>
      <c r="E15" s="141"/>
      <c r="F15" s="687"/>
      <c r="G15" s="637">
        <f>(1-0.96)</f>
        <v>4.0000000000000036E-2</v>
      </c>
      <c r="H15" s="16" t="s">
        <v>531</v>
      </c>
      <c r="I15" s="129"/>
      <c r="J15" s="625"/>
      <c r="K15" s="687"/>
      <c r="L15" s="637">
        <f>(1-0.96)</f>
        <v>4.0000000000000036E-2</v>
      </c>
      <c r="M15" s="16" t="s">
        <v>531</v>
      </c>
      <c r="N15" s="129"/>
      <c r="O15" s="625"/>
      <c r="P15" s="687"/>
      <c r="Q15" s="1132"/>
      <c r="R15" s="687"/>
      <c r="S15" s="687"/>
      <c r="T15" s="687"/>
      <c r="U15" s="687"/>
      <c r="V15" s="687"/>
    </row>
    <row r="16" spans="1:22" x14ac:dyDescent="0.35">
      <c r="A16" s="687"/>
      <c r="B16" s="798">
        <v>1200</v>
      </c>
      <c r="C16" s="76" t="s">
        <v>523</v>
      </c>
      <c r="D16" s="76"/>
      <c r="E16" s="799"/>
      <c r="F16" s="687"/>
      <c r="G16" s="212">
        <f>G14*G15</f>
        <v>2754.6759450000027</v>
      </c>
      <c r="H16" s="16" t="s">
        <v>532</v>
      </c>
      <c r="I16" s="129"/>
      <c r="J16" s="625"/>
      <c r="K16" s="687"/>
      <c r="L16" s="212">
        <f>L14*L15</f>
        <v>2938.3210080000022</v>
      </c>
      <c r="M16" s="16" t="s">
        <v>532</v>
      </c>
      <c r="N16" s="129"/>
      <c r="O16" s="625"/>
      <c r="P16" s="687"/>
      <c r="Q16" s="687"/>
      <c r="R16" s="687"/>
      <c r="S16" s="687"/>
      <c r="T16" s="687"/>
      <c r="U16" s="687"/>
      <c r="V16" s="687"/>
    </row>
    <row r="17" spans="1:16" ht="15" thickBot="1" x14ac:dyDescent="0.4">
      <c r="A17" s="687"/>
      <c r="B17" s="793">
        <f>B16*B15</f>
        <v>144000</v>
      </c>
      <c r="C17" s="794" t="s">
        <v>525</v>
      </c>
      <c r="D17" s="147"/>
      <c r="E17" s="148"/>
      <c r="F17" s="687"/>
      <c r="G17" s="1557">
        <v>28</v>
      </c>
      <c r="H17" s="16" t="s">
        <v>533</v>
      </c>
      <c r="I17" s="16"/>
      <c r="J17" s="625"/>
      <c r="K17" s="687"/>
      <c r="L17" s="1557">
        <v>28</v>
      </c>
      <c r="M17" s="16" t="s">
        <v>533</v>
      </c>
      <c r="N17" s="16"/>
      <c r="O17" s="625"/>
      <c r="P17" s="687"/>
    </row>
    <row r="18" spans="1:16" ht="15" thickBot="1" x14ac:dyDescent="0.4">
      <c r="A18" s="687"/>
      <c r="B18" s="687"/>
      <c r="C18" s="687"/>
      <c r="D18" s="687"/>
      <c r="E18" s="687"/>
      <c r="F18" s="687"/>
      <c r="G18" s="795">
        <f>G16*G17</f>
        <v>77130.926460000075</v>
      </c>
      <c r="H18" s="351" t="s">
        <v>534</v>
      </c>
      <c r="I18" s="351"/>
      <c r="J18" s="627"/>
      <c r="K18" s="687"/>
      <c r="L18" s="795">
        <f>L16*L17</f>
        <v>82272.988224000059</v>
      </c>
      <c r="M18" s="351" t="s">
        <v>534</v>
      </c>
      <c r="N18" s="351"/>
      <c r="O18" s="627"/>
      <c r="P18" s="687"/>
    </row>
    <row r="19" spans="1:16" x14ac:dyDescent="0.35">
      <c r="A19" s="687"/>
      <c r="B19" s="687"/>
      <c r="C19" s="687"/>
      <c r="D19" s="687"/>
      <c r="E19" s="687"/>
      <c r="F19" s="687"/>
      <c r="G19" s="796">
        <f>G18*2.2046</f>
        <v>170042.84047371618</v>
      </c>
      <c r="H19" s="216" t="s">
        <v>535</v>
      </c>
      <c r="I19" s="216"/>
      <c r="J19" s="628"/>
      <c r="K19" s="687"/>
      <c r="L19" s="796">
        <f>L18*2.2046</f>
        <v>181379.02983863055</v>
      </c>
      <c r="M19" s="216" t="s">
        <v>535</v>
      </c>
      <c r="N19" s="216"/>
      <c r="O19" s="628"/>
      <c r="P19" s="687"/>
    </row>
    <row r="20" spans="1:16" x14ac:dyDescent="0.35">
      <c r="A20" s="687"/>
      <c r="B20" s="687"/>
      <c r="C20" s="687"/>
      <c r="D20" s="687"/>
      <c r="E20" s="687"/>
      <c r="F20" s="687"/>
      <c r="G20" s="796">
        <f>G19/2000</f>
        <v>85.021420236858091</v>
      </c>
      <c r="H20" s="216" t="s">
        <v>536</v>
      </c>
      <c r="I20" s="216"/>
      <c r="J20" s="628"/>
      <c r="K20" s="687"/>
      <c r="L20" s="796">
        <f>L19/2000</f>
        <v>90.689514919315272</v>
      </c>
      <c r="M20" s="216" t="s">
        <v>536</v>
      </c>
      <c r="N20" s="216"/>
      <c r="O20" s="628"/>
      <c r="P20" s="687"/>
    </row>
    <row r="21" spans="1:16" ht="15" thickBot="1" x14ac:dyDescent="0.4">
      <c r="A21" s="687"/>
      <c r="B21" s="687"/>
      <c r="C21" s="687"/>
      <c r="D21" s="687"/>
      <c r="E21" s="687"/>
      <c r="F21" s="687"/>
      <c r="G21" s="797">
        <f>'Brewery-Control Data'!$B$10</f>
        <v>123215.153565</v>
      </c>
      <c r="H21" s="27" t="s">
        <v>276</v>
      </c>
      <c r="I21" s="27"/>
      <c r="J21" s="629"/>
      <c r="K21" s="687"/>
      <c r="L21" s="797">
        <f>'Brewery-Control Data'!$E$10</f>
        <v>88010.823974999992</v>
      </c>
      <c r="M21" s="27" t="s">
        <v>276</v>
      </c>
      <c r="N21" s="27"/>
      <c r="O21" s="629"/>
      <c r="P21" s="687"/>
    </row>
    <row r="22" spans="1:16" s="514" customFormat="1" ht="15" thickBot="1" x14ac:dyDescent="0.4">
      <c r="A22" s="687"/>
      <c r="B22" s="687"/>
      <c r="C22" s="687"/>
      <c r="D22" s="687"/>
      <c r="E22" s="687"/>
      <c r="F22" s="687"/>
      <c r="G22" s="349">
        <f>G18/G21</f>
        <v>0.6259857187071638</v>
      </c>
      <c r="H22" s="350" t="s">
        <v>537</v>
      </c>
      <c r="I22" s="350"/>
      <c r="J22" s="630"/>
      <c r="K22" s="687"/>
      <c r="L22" s="349">
        <f>L18/L21</f>
        <v>0.9348053399360311</v>
      </c>
      <c r="M22" s="350" t="s">
        <v>537</v>
      </c>
      <c r="N22" s="350"/>
      <c r="O22" s="630"/>
      <c r="P22" s="687"/>
    </row>
    <row r="23" spans="1:16" s="514" customFormat="1" ht="15" thickBot="1" x14ac:dyDescent="0.4">
      <c r="A23" s="687"/>
      <c r="B23" s="687"/>
      <c r="C23" s="687"/>
      <c r="D23" s="687"/>
      <c r="E23" s="687"/>
      <c r="F23" s="687"/>
      <c r="G23" s="687"/>
      <c r="H23" s="687"/>
      <c r="I23" s="687"/>
      <c r="J23" s="687"/>
      <c r="K23" s="687"/>
      <c r="L23" s="687"/>
      <c r="M23" s="687"/>
      <c r="N23" s="687"/>
      <c r="O23" s="687"/>
      <c r="P23" s="687"/>
    </row>
    <row r="24" spans="1:16" s="514" customFormat="1" ht="15" thickBot="1" x14ac:dyDescent="0.4">
      <c r="A24" s="687"/>
      <c r="B24" s="1836" t="s">
        <v>538</v>
      </c>
      <c r="C24" s="1839"/>
      <c r="D24" s="1839"/>
      <c r="E24" s="1837"/>
      <c r="F24" s="687"/>
      <c r="G24" s="687"/>
      <c r="H24" s="687"/>
      <c r="I24" s="687"/>
      <c r="J24" s="687"/>
      <c r="K24" s="687"/>
      <c r="L24" s="687"/>
      <c r="M24" s="687"/>
      <c r="N24" s="687"/>
      <c r="O24" s="687"/>
      <c r="P24" s="687"/>
    </row>
    <row r="25" spans="1:16" ht="15" thickBot="1" x14ac:dyDescent="0.4">
      <c r="A25" s="214"/>
      <c r="B25" s="795">
        <f>G18+L18</f>
        <v>159403.91468400013</v>
      </c>
      <c r="C25" s="351" t="s">
        <v>539</v>
      </c>
      <c r="D25" s="351"/>
      <c r="E25" s="627"/>
      <c r="F25" s="687"/>
      <c r="G25" s="687"/>
      <c r="H25" s="1131"/>
      <c r="I25" s="687"/>
      <c r="J25" s="687"/>
      <c r="K25" s="687"/>
      <c r="L25" s="687"/>
      <c r="M25" s="687"/>
      <c r="N25" s="687"/>
      <c r="O25" s="687"/>
      <c r="P25" s="687"/>
    </row>
    <row r="26" spans="1:16" s="687" customFormat="1" x14ac:dyDescent="0.35">
      <c r="A26" s="214"/>
      <c r="B26" s="796">
        <f>B25*2.2046</f>
        <v>351421.87031234673</v>
      </c>
      <c r="C26" s="216" t="s">
        <v>535</v>
      </c>
      <c r="D26" s="216"/>
      <c r="E26" s="628"/>
    </row>
    <row r="27" spans="1:16" s="687" customFormat="1" x14ac:dyDescent="0.35">
      <c r="A27" s="214"/>
      <c r="B27" s="796">
        <f>B26/2000</f>
        <v>175.71093515617338</v>
      </c>
      <c r="C27" s="216" t="s">
        <v>536</v>
      </c>
      <c r="D27" s="216"/>
      <c r="E27" s="628"/>
    </row>
    <row r="28" spans="1:16" s="687" customFormat="1" ht="15" thickBot="1" x14ac:dyDescent="0.4">
      <c r="A28" s="214"/>
      <c r="B28" s="797">
        <f>'Brewery-Control Data'!$H$10</f>
        <v>211225.97753999999</v>
      </c>
      <c r="C28" s="27" t="s">
        <v>276</v>
      </c>
      <c r="D28" s="27"/>
      <c r="E28" s="629"/>
    </row>
    <row r="29" spans="1:16" s="687" customFormat="1" ht="15" thickBot="1" x14ac:dyDescent="0.4">
      <c r="A29" s="214"/>
      <c r="B29" s="349">
        <f>B25/B28</f>
        <v>0.75466056088585842</v>
      </c>
      <c r="C29" s="350" t="s">
        <v>540</v>
      </c>
      <c r="D29" s="350"/>
      <c r="E29" s="630"/>
    </row>
    <row r="30" spans="1:16" s="687" customFormat="1" x14ac:dyDescent="0.35">
      <c r="A30" s="214"/>
    </row>
    <row r="31" spans="1:16" s="687" customFormat="1" x14ac:dyDescent="0.35">
      <c r="A31" s="214"/>
    </row>
    <row r="32" spans="1:16" s="687" customFormat="1" x14ac:dyDescent="0.35">
      <c r="A32" s="214"/>
    </row>
    <row r="33" spans="1:16" s="687" customFormat="1" ht="15" thickBot="1" x14ac:dyDescent="0.4">
      <c r="A33" s="1693" t="s">
        <v>499</v>
      </c>
      <c r="B33" s="1693"/>
      <c r="C33" s="1693"/>
      <c r="D33" s="1693"/>
      <c r="E33" s="1693"/>
    </row>
    <row r="34" spans="1:16" s="687" customFormat="1" ht="15" thickTop="1" x14ac:dyDescent="0.35">
      <c r="A34" s="214"/>
      <c r="B34" s="690"/>
      <c r="C34" s="690"/>
      <c r="D34" s="690"/>
      <c r="E34" s="690"/>
    </row>
    <row r="35" spans="1:16" x14ac:dyDescent="0.35">
      <c r="A35" s="690" t="s">
        <v>541</v>
      </c>
      <c r="B35" s="690"/>
      <c r="C35" s="690"/>
      <c r="D35" s="690"/>
      <c r="E35" s="690"/>
      <c r="F35" s="690"/>
      <c r="G35" s="690"/>
      <c r="H35" s="690"/>
      <c r="I35" s="690"/>
      <c r="J35" s="690"/>
      <c r="K35" s="690"/>
      <c r="L35" s="690"/>
      <c r="M35" s="690"/>
      <c r="N35" s="690"/>
      <c r="O35" s="690"/>
      <c r="P35" s="690"/>
    </row>
    <row r="36" spans="1:16" x14ac:dyDescent="0.35">
      <c r="A36" s="687"/>
      <c r="B36" s="1253" t="s">
        <v>542</v>
      </c>
      <c r="C36" s="690"/>
      <c r="D36" s="690"/>
      <c r="E36" s="690"/>
      <c r="F36" s="690"/>
      <c r="G36" s="690"/>
      <c r="H36" s="690"/>
      <c r="I36" s="690"/>
      <c r="J36" s="690"/>
      <c r="K36" s="690"/>
      <c r="L36" s="690"/>
      <c r="M36" s="690"/>
      <c r="N36" s="690"/>
      <c r="O36" s="690"/>
      <c r="P36" s="690"/>
    </row>
    <row r="37" spans="1:16" x14ac:dyDescent="0.35">
      <c r="A37" s="224"/>
      <c r="B37" s="687"/>
      <c r="C37" s="687"/>
      <c r="D37" s="687"/>
      <c r="E37" s="687"/>
      <c r="F37" s="690"/>
      <c r="G37" s="690"/>
      <c r="H37" s="690"/>
      <c r="I37" s="690"/>
      <c r="J37" s="690"/>
      <c r="K37" s="690"/>
      <c r="L37" s="690"/>
      <c r="M37" s="690"/>
      <c r="N37" s="690"/>
      <c r="O37" s="690"/>
      <c r="P37" s="690"/>
    </row>
    <row r="38" spans="1:16" x14ac:dyDescent="0.35">
      <c r="A38" s="225" t="s">
        <v>543</v>
      </c>
      <c r="B38" s="690"/>
      <c r="C38" s="690"/>
      <c r="D38" s="690"/>
      <c r="E38" s="690"/>
      <c r="F38" s="690"/>
      <c r="G38" s="690"/>
      <c r="H38" s="690"/>
      <c r="I38" s="690"/>
      <c r="J38" s="690"/>
      <c r="K38" s="690"/>
      <c r="L38" s="690"/>
      <c r="M38" s="690"/>
      <c r="N38" s="690"/>
      <c r="O38" s="690"/>
      <c r="P38" s="690"/>
    </row>
    <row r="39" spans="1:16" x14ac:dyDescent="0.35">
      <c r="A39" s="687"/>
      <c r="B39" s="690"/>
      <c r="C39" s="690"/>
      <c r="D39" s="690"/>
      <c r="E39" s="690"/>
      <c r="F39" s="690"/>
      <c r="G39" s="690"/>
      <c r="H39" s="690"/>
      <c r="I39" s="690"/>
      <c r="J39" s="690"/>
      <c r="K39" s="690"/>
      <c r="L39" s="690"/>
      <c r="M39" s="690"/>
      <c r="N39" s="690"/>
      <c r="O39" s="690"/>
      <c r="P39" s="690"/>
    </row>
    <row r="40" spans="1:16" x14ac:dyDescent="0.35">
      <c r="A40" s="1216" t="s">
        <v>544</v>
      </c>
      <c r="B40" s="687"/>
      <c r="C40" s="690"/>
      <c r="D40" s="690"/>
      <c r="E40" s="690"/>
      <c r="F40" s="687"/>
      <c r="G40" s="687"/>
      <c r="H40" s="687"/>
      <c r="I40" s="687"/>
      <c r="J40" s="687"/>
      <c r="K40" s="687"/>
      <c r="L40" s="687"/>
      <c r="M40" s="687"/>
      <c r="N40" s="687"/>
      <c r="O40" s="687"/>
      <c r="P40" s="687"/>
    </row>
    <row r="41" spans="1:16" s="687" customFormat="1" x14ac:dyDescent="0.35">
      <c r="A41" s="224"/>
      <c r="B41" s="690"/>
      <c r="C41" s="690"/>
      <c r="D41" s="690"/>
      <c r="E41" s="690"/>
      <c r="F41" s="690"/>
      <c r="G41" s="690"/>
      <c r="H41" s="690"/>
      <c r="I41" s="690"/>
      <c r="J41" s="690"/>
      <c r="K41" s="690"/>
      <c r="L41" s="690"/>
      <c r="M41" s="690"/>
      <c r="N41" s="690"/>
      <c r="O41" s="690"/>
      <c r="P41" s="690"/>
    </row>
    <row r="42" spans="1:16" x14ac:dyDescent="0.35">
      <c r="A42" s="688" t="s">
        <v>505</v>
      </c>
      <c r="B42" s="690"/>
      <c r="C42" s="687"/>
      <c r="D42" s="687"/>
      <c r="E42" s="687"/>
      <c r="F42" s="690"/>
      <c r="G42" s="690"/>
      <c r="H42" s="690"/>
      <c r="I42" s="690"/>
      <c r="J42" s="690"/>
      <c r="K42" s="690"/>
      <c r="L42" s="690"/>
      <c r="M42" s="690"/>
      <c r="N42" s="690"/>
      <c r="O42" s="690"/>
      <c r="P42" s="690"/>
    </row>
    <row r="43" spans="1:16" x14ac:dyDescent="0.35">
      <c r="A43" s="687"/>
      <c r="B43" s="696" t="s">
        <v>124</v>
      </c>
      <c r="C43" s="687"/>
      <c r="D43" s="687"/>
      <c r="E43" s="687"/>
      <c r="F43" s="690"/>
      <c r="G43" s="690"/>
      <c r="H43" s="690"/>
      <c r="I43" s="690"/>
      <c r="J43" s="690"/>
      <c r="K43" s="690"/>
      <c r="L43" s="690"/>
      <c r="M43" s="690"/>
      <c r="N43" s="690"/>
      <c r="O43" s="690"/>
      <c r="P43" s="690"/>
    </row>
    <row r="44" spans="1:16" s="687" customFormat="1" x14ac:dyDescent="0.35">
      <c r="B44" s="696"/>
      <c r="F44" s="690"/>
      <c r="G44" s="690"/>
      <c r="H44" s="690"/>
      <c r="I44" s="690"/>
      <c r="J44" s="690"/>
      <c r="K44" s="690"/>
      <c r="L44" s="690"/>
      <c r="M44" s="690"/>
      <c r="N44" s="690"/>
      <c r="O44" s="690"/>
      <c r="P44" s="690"/>
    </row>
    <row r="45" spans="1:16" s="687" customFormat="1" x14ac:dyDescent="0.35">
      <c r="B45" s="696"/>
      <c r="F45" s="690"/>
      <c r="G45" s="690"/>
      <c r="H45" s="690"/>
      <c r="I45" s="690"/>
      <c r="J45" s="690"/>
      <c r="K45" s="690"/>
      <c r="L45" s="690"/>
      <c r="M45" s="690"/>
      <c r="N45" s="690"/>
      <c r="O45" s="690"/>
      <c r="P45" s="690"/>
    </row>
    <row r="46" spans="1:16" x14ac:dyDescent="0.35">
      <c r="A46" s="690"/>
      <c r="B46" s="687"/>
      <c r="C46" s="687"/>
      <c r="D46" s="687"/>
      <c r="E46" s="687"/>
      <c r="F46" s="690"/>
      <c r="G46" s="690"/>
      <c r="H46" s="690"/>
      <c r="I46" s="690"/>
      <c r="J46" s="690"/>
      <c r="K46" s="690"/>
      <c r="L46" s="690"/>
      <c r="M46" s="690"/>
      <c r="N46" s="690"/>
      <c r="O46" s="690"/>
      <c r="P46" s="690"/>
    </row>
    <row r="47" spans="1:16" x14ac:dyDescent="0.35">
      <c r="A47" s="688"/>
      <c r="B47" s="690"/>
      <c r="C47" s="687"/>
      <c r="D47" s="687"/>
      <c r="E47" s="687"/>
      <c r="F47" s="687"/>
      <c r="G47" s="687"/>
      <c r="H47" s="687"/>
      <c r="I47" s="687"/>
      <c r="J47" s="687"/>
      <c r="K47" s="687"/>
      <c r="L47" s="687"/>
      <c r="M47" s="687"/>
      <c r="N47" s="687"/>
      <c r="O47" s="687"/>
      <c r="P47" s="687"/>
    </row>
    <row r="48" spans="1:16" ht="16" thickBot="1" x14ac:dyDescent="0.4">
      <c r="A48" s="1678"/>
      <c r="B48" s="1678"/>
      <c r="C48" s="1678"/>
      <c r="D48" s="1678"/>
      <c r="E48" s="1678"/>
      <c r="F48" s="1678"/>
      <c r="G48" s="1678"/>
      <c r="H48" s="1678"/>
      <c r="I48" s="1678"/>
      <c r="J48" s="1678"/>
      <c r="K48" s="1678"/>
      <c r="L48" s="1678"/>
      <c r="M48" s="1678"/>
      <c r="N48" s="1678"/>
      <c r="O48" s="1678"/>
      <c r="P48" s="1679" t="s">
        <v>72</v>
      </c>
    </row>
    <row r="49" spans="1:16" ht="15" thickTop="1" x14ac:dyDescent="0.35">
      <c r="A49" s="87"/>
      <c r="B49" s="87"/>
      <c r="C49" s="87"/>
      <c r="D49" s="87"/>
      <c r="E49" s="87"/>
      <c r="F49" s="87"/>
      <c r="G49" s="87"/>
      <c r="H49" s="87"/>
      <c r="I49" s="87"/>
      <c r="J49" s="87"/>
      <c r="K49" s="87"/>
      <c r="L49" s="87"/>
      <c r="M49" s="87"/>
      <c r="N49" s="87"/>
      <c r="O49" s="87"/>
      <c r="P49" s="87"/>
    </row>
  </sheetData>
  <mergeCells count="9">
    <mergeCell ref="A1:O1"/>
    <mergeCell ref="L7:O7"/>
    <mergeCell ref="B14:E14"/>
    <mergeCell ref="B24:E24"/>
    <mergeCell ref="B7:E7"/>
    <mergeCell ref="G7:J7"/>
    <mergeCell ref="B4:C4"/>
    <mergeCell ref="I3:O5"/>
    <mergeCell ref="B3:C3"/>
  </mergeCells>
  <hyperlinks>
    <hyperlink ref="B43" r:id="rId1" xr:uid="{AC13957E-8E0D-4989-9E52-7198DF2EB749}"/>
    <hyperlink ref="B4" location="'Glossary-FAQs'!A1" display="Glossary/FAQ" xr:uid="{390BD2FF-8B40-4D3D-96D0-7B09395028D4}"/>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70C0"/>
    <pageSetUpPr fitToPage="1"/>
  </sheetPr>
  <dimension ref="A1:W153"/>
  <sheetViews>
    <sheetView zoomScaleNormal="100" zoomScaleSheetLayoutView="42" workbookViewId="0">
      <selection activeCell="A2" sqref="A2"/>
    </sheetView>
  </sheetViews>
  <sheetFormatPr defaultColWidth="8.81640625" defaultRowHeight="14.5" x14ac:dyDescent="0.35"/>
  <cols>
    <col min="1" max="1" width="5.1796875" customWidth="1"/>
    <col min="2" max="2" width="17.81640625" customWidth="1"/>
    <col min="3" max="3" width="32.7265625" customWidth="1"/>
    <col min="4" max="4" width="28.26953125" customWidth="1"/>
    <col min="5" max="5" width="14.7265625" customWidth="1"/>
    <col min="6" max="6" width="5.26953125" customWidth="1"/>
    <col min="7" max="7" width="18.1796875" customWidth="1"/>
    <col min="8" max="8" width="22" customWidth="1"/>
    <col min="9" max="9" width="22.453125" customWidth="1"/>
    <col min="10" max="10" width="10.26953125" style="87" customWidth="1"/>
    <col min="11" max="11" width="24.81640625" customWidth="1"/>
    <col min="12" max="12" width="20.453125" customWidth="1"/>
    <col min="13" max="13" width="18.26953125" customWidth="1"/>
    <col min="14" max="14" width="26" customWidth="1"/>
    <col min="15" max="16" width="16" customWidth="1"/>
  </cols>
  <sheetData>
    <row r="1" spans="1:21" ht="18" customHeight="1" thickBot="1" x14ac:dyDescent="0.4">
      <c r="A1" s="1857" t="s">
        <v>545</v>
      </c>
      <c r="B1" s="1858"/>
      <c r="C1" s="1858"/>
      <c r="D1" s="1858"/>
      <c r="E1" s="1858"/>
      <c r="F1" s="1858"/>
      <c r="G1" s="1858"/>
      <c r="H1" s="1858"/>
      <c r="I1" s="1858"/>
      <c r="J1" s="1858"/>
      <c r="K1" s="88"/>
      <c r="L1" s="88"/>
      <c r="M1" s="88"/>
      <c r="N1" s="88"/>
      <c r="O1" s="88"/>
      <c r="P1" s="88"/>
      <c r="Q1" s="687"/>
      <c r="R1" s="687"/>
      <c r="S1" s="687"/>
      <c r="T1" s="687"/>
      <c r="U1" s="687"/>
    </row>
    <row r="2" spans="1:21" x14ac:dyDescent="0.35">
      <c r="A2" s="223"/>
      <c r="B2" s="44"/>
      <c r="C2" s="44"/>
      <c r="D2" s="44"/>
      <c r="E2" s="1550" t="s">
        <v>264</v>
      </c>
      <c r="F2" s="44"/>
      <c r="G2" s="44"/>
      <c r="H2" s="44"/>
      <c r="I2" s="44"/>
      <c r="J2" s="166"/>
      <c r="K2" s="88"/>
      <c r="L2" s="1423"/>
      <c r="M2" s="88"/>
      <c r="N2" s="88"/>
      <c r="O2" s="88"/>
      <c r="P2" s="88"/>
      <c r="Q2" s="687"/>
      <c r="R2" s="687"/>
      <c r="S2" s="687"/>
      <c r="T2" s="687"/>
      <c r="U2" s="687"/>
    </row>
    <row r="3" spans="1:21" ht="15" customHeight="1" x14ac:dyDescent="0.35">
      <c r="A3" s="687"/>
      <c r="B3" s="1558" t="s">
        <v>265</v>
      </c>
      <c r="C3" s="1617" t="s">
        <v>432</v>
      </c>
      <c r="D3" s="513"/>
      <c r="E3" s="1863" t="s">
        <v>546</v>
      </c>
      <c r="F3" s="1863"/>
      <c r="G3" s="1863"/>
      <c r="H3" s="1863"/>
      <c r="I3" s="1863"/>
      <c r="J3" s="1863"/>
      <c r="K3" s="1655"/>
      <c r="L3" s="1424"/>
      <c r="M3" s="44"/>
      <c r="N3" s="44"/>
      <c r="O3" s="44"/>
      <c r="P3" s="687"/>
      <c r="Q3" s="44"/>
      <c r="R3" s="44"/>
      <c r="S3" s="44"/>
      <c r="T3" s="44"/>
      <c r="U3" s="44"/>
    </row>
    <row r="4" spans="1:21" x14ac:dyDescent="0.35">
      <c r="A4" s="44"/>
      <c r="B4" s="1667" t="s">
        <v>268</v>
      </c>
      <c r="C4" s="44"/>
      <c r="D4" s="44"/>
      <c r="E4" s="1863"/>
      <c r="F4" s="1863"/>
      <c r="G4" s="1863"/>
      <c r="H4" s="1863"/>
      <c r="I4" s="1863"/>
      <c r="J4" s="1863"/>
      <c r="K4" s="1655"/>
      <c r="L4" s="1424"/>
      <c r="M4" s="44"/>
      <c r="N4" s="44"/>
      <c r="O4" s="44"/>
      <c r="P4" s="687"/>
      <c r="Q4" s="44"/>
      <c r="R4" s="44"/>
      <c r="S4" s="44"/>
      <c r="T4" s="44"/>
      <c r="U4" s="44"/>
    </row>
    <row r="5" spans="1:21" ht="15" thickBot="1" x14ac:dyDescent="0.4">
      <c r="A5" s="687"/>
      <c r="B5" s="687"/>
      <c r="C5" s="687"/>
      <c r="D5" s="687"/>
      <c r="E5" s="1863"/>
      <c r="F5" s="1863"/>
      <c r="G5" s="1863"/>
      <c r="H5" s="1863"/>
      <c r="I5" s="1863"/>
      <c r="J5" s="1863"/>
      <c r="K5" s="1655"/>
      <c r="L5" s="5"/>
      <c r="M5" s="88"/>
      <c r="N5" s="88"/>
      <c r="O5" s="88"/>
      <c r="P5" s="88"/>
      <c r="Q5" s="687"/>
      <c r="R5" s="687"/>
      <c r="S5" s="687"/>
      <c r="T5" s="687"/>
      <c r="U5" s="687"/>
    </row>
    <row r="6" spans="1:21" ht="16" thickBot="1" x14ac:dyDescent="0.4">
      <c r="A6" s="842" t="str">
        <f>(brew1_abb&amp;" Fugitive Emissions Data")</f>
        <v>MAIN Fugitive Emissions Data</v>
      </c>
      <c r="B6" s="282"/>
      <c r="C6" s="282"/>
      <c r="D6" s="44"/>
      <c r="E6" s="271"/>
      <c r="F6" s="272"/>
      <c r="G6" s="687"/>
      <c r="H6" s="687"/>
      <c r="I6" s="687"/>
      <c r="K6" s="44"/>
      <c r="L6" s="1423"/>
      <c r="M6" s="88"/>
      <c r="N6" s="88"/>
      <c r="O6" s="88"/>
      <c r="P6" s="88"/>
      <c r="Q6" s="687"/>
      <c r="R6" s="687"/>
      <c r="S6" s="687"/>
      <c r="T6" s="687"/>
      <c r="U6" s="687"/>
    </row>
    <row r="7" spans="1:21" ht="15" thickBot="1" x14ac:dyDescent="0.4">
      <c r="A7" s="810"/>
      <c r="B7" s="1836" t="s">
        <v>547</v>
      </c>
      <c r="C7" s="1839"/>
      <c r="D7" s="1837"/>
      <c r="E7" s="811"/>
      <c r="F7" s="812"/>
      <c r="G7" s="1836" t="s">
        <v>548</v>
      </c>
      <c r="H7" s="1839"/>
      <c r="I7" s="1837"/>
      <c r="J7" s="1217"/>
      <c r="K7" s="271"/>
      <c r="L7" s="1423"/>
      <c r="M7" s="88"/>
      <c r="N7" s="88"/>
      <c r="O7" s="88"/>
      <c r="P7" s="88"/>
      <c r="Q7" s="687"/>
      <c r="R7" s="687"/>
      <c r="S7" s="687"/>
      <c r="T7" s="687"/>
      <c r="U7" s="687"/>
    </row>
    <row r="8" spans="1:21" x14ac:dyDescent="0.35">
      <c r="A8" s="49"/>
      <c r="B8" s="275">
        <v>10</v>
      </c>
      <c r="C8" s="1855" t="s">
        <v>549</v>
      </c>
      <c r="D8" s="1856"/>
      <c r="E8" s="274"/>
      <c r="F8" s="813"/>
      <c r="G8" s="275">
        <v>10</v>
      </c>
      <c r="H8" s="1696" t="s">
        <v>550</v>
      </c>
      <c r="I8" s="1697"/>
      <c r="J8" s="1218"/>
      <c r="K8" s="274"/>
      <c r="L8" s="1423"/>
      <c r="M8" s="88"/>
      <c r="N8" s="88"/>
      <c r="O8" s="88"/>
      <c r="P8" s="88"/>
      <c r="Q8" s="687"/>
      <c r="R8" s="687"/>
      <c r="S8" s="687"/>
      <c r="T8" s="687"/>
      <c r="U8" s="687"/>
    </row>
    <row r="9" spans="1:21" s="514" customFormat="1" x14ac:dyDescent="0.35">
      <c r="A9" s="49"/>
      <c r="B9" s="631">
        <f>'Brewery-Control Data'!$L$30</f>
        <v>0.453592</v>
      </c>
      <c r="C9" s="1696" t="s">
        <v>551</v>
      </c>
      <c r="D9" s="1697"/>
      <c r="E9" s="274"/>
      <c r="F9" s="813"/>
      <c r="G9" s="631">
        <f>'Brewery-Control Data'!$L$30</f>
        <v>0.453592</v>
      </c>
      <c r="H9" s="1696" t="s">
        <v>551</v>
      </c>
      <c r="I9" s="1697"/>
      <c r="J9" s="1218"/>
      <c r="K9" s="274"/>
      <c r="L9" s="1423"/>
      <c r="M9" s="88"/>
      <c r="N9" s="88"/>
      <c r="O9" s="88"/>
      <c r="P9" s="88"/>
      <c r="Q9" s="687"/>
      <c r="R9" s="687"/>
      <c r="S9" s="687"/>
      <c r="T9" s="687"/>
      <c r="U9" s="687"/>
    </row>
    <row r="10" spans="1:21" x14ac:dyDescent="0.35">
      <c r="A10" s="49"/>
      <c r="B10" s="276">
        <f>B8*B9</f>
        <v>4.53592</v>
      </c>
      <c r="C10" s="1855" t="s">
        <v>552</v>
      </c>
      <c r="D10" s="1856"/>
      <c r="E10" s="274"/>
      <c r="F10" s="813"/>
      <c r="G10" s="714">
        <f>G8*G9</f>
        <v>4.53592</v>
      </c>
      <c r="H10" s="1696" t="s">
        <v>553</v>
      </c>
      <c r="I10" s="1697"/>
      <c r="J10" s="1218"/>
      <c r="K10" s="274"/>
      <c r="L10" s="1423"/>
      <c r="M10" s="88"/>
      <c r="N10" s="88"/>
      <c r="O10" s="88"/>
      <c r="P10" s="88"/>
      <c r="Q10" s="687"/>
      <c r="R10" s="687"/>
      <c r="S10" s="687"/>
      <c r="T10" s="687"/>
      <c r="U10" s="687"/>
    </row>
    <row r="11" spans="1:21" ht="15" thickBot="1" x14ac:dyDescent="0.4">
      <c r="A11" s="49"/>
      <c r="B11" s="1573">
        <v>1430</v>
      </c>
      <c r="C11" s="1859" t="s">
        <v>122</v>
      </c>
      <c r="D11" s="1860"/>
      <c r="E11" s="274"/>
      <c r="F11" s="813"/>
      <c r="G11" s="1573">
        <v>2110</v>
      </c>
      <c r="H11" s="1698" t="s">
        <v>122</v>
      </c>
      <c r="I11" s="1699"/>
      <c r="J11" s="1218"/>
      <c r="K11" s="274"/>
      <c r="L11" s="88"/>
      <c r="M11" s="88"/>
      <c r="N11" s="88"/>
      <c r="O11" s="88"/>
      <c r="P11" s="88"/>
      <c r="Q11" s="687"/>
      <c r="R11" s="687"/>
      <c r="S11" s="687"/>
      <c r="T11" s="687"/>
      <c r="U11" s="687"/>
    </row>
    <row r="12" spans="1:21" ht="15" thickBot="1" x14ac:dyDescent="0.4">
      <c r="A12" s="49"/>
      <c r="B12" s="800">
        <f>B10*B11</f>
        <v>6486.3656000000001</v>
      </c>
      <c r="C12" s="1861" t="s">
        <v>554</v>
      </c>
      <c r="D12" s="1862"/>
      <c r="E12" s="274"/>
      <c r="F12" s="813"/>
      <c r="G12" s="800">
        <f>G10*G11</f>
        <v>9570.7911999999997</v>
      </c>
      <c r="H12" s="1700" t="s">
        <v>555</v>
      </c>
      <c r="I12" s="1701"/>
      <c r="J12" s="1218"/>
      <c r="K12" s="274"/>
      <c r="L12" s="88"/>
      <c r="M12" s="88"/>
      <c r="N12" s="88"/>
      <c r="O12" s="88"/>
      <c r="P12" s="88"/>
      <c r="Q12" s="687"/>
      <c r="R12" s="687"/>
      <c r="S12" s="687"/>
      <c r="T12" s="687"/>
      <c r="U12" s="687"/>
    </row>
    <row r="13" spans="1:21" s="514" customFormat="1" ht="15" thickBot="1" x14ac:dyDescent="0.4">
      <c r="A13" s="49"/>
      <c r="B13" s="801">
        <f>'Brewery-Control Data'!$B$10</f>
        <v>123215.153565</v>
      </c>
      <c r="C13" s="635" t="s">
        <v>276</v>
      </c>
      <c r="D13" s="523"/>
      <c r="E13" s="274"/>
      <c r="F13" s="813"/>
      <c r="G13" s="801">
        <f>'Brewery-Control Data'!$B$10</f>
        <v>123215.153565</v>
      </c>
      <c r="H13" s="635" t="s">
        <v>276</v>
      </c>
      <c r="I13" s="523"/>
      <c r="J13" s="1218"/>
      <c r="K13" s="274"/>
      <c r="L13" s="88"/>
      <c r="M13" s="88"/>
      <c r="N13" s="88"/>
      <c r="O13" s="88"/>
      <c r="P13" s="88"/>
      <c r="Q13" s="687"/>
      <c r="R13" s="687"/>
      <c r="S13" s="687"/>
      <c r="T13" s="687"/>
      <c r="U13" s="687"/>
    </row>
    <row r="14" spans="1:21" s="514" customFormat="1" ht="15" thickBot="1" x14ac:dyDescent="0.4">
      <c r="A14" s="49"/>
      <c r="B14" s="522">
        <f>B12/B13</f>
        <v>5.2642596404168997E-2</v>
      </c>
      <c r="C14" s="334" t="s">
        <v>556</v>
      </c>
      <c r="D14" s="439"/>
      <c r="E14" s="274"/>
      <c r="F14" s="813"/>
      <c r="G14" s="522">
        <f>G12/G13</f>
        <v>7.7675439449508096E-2</v>
      </c>
      <c r="H14" s="334" t="s">
        <v>557</v>
      </c>
      <c r="I14" s="439"/>
      <c r="J14" s="1218"/>
      <c r="K14" s="274"/>
      <c r="L14" s="88"/>
      <c r="M14" s="88"/>
      <c r="N14" s="88"/>
      <c r="O14" s="88"/>
      <c r="P14" s="88"/>
      <c r="Q14" s="687"/>
      <c r="R14" s="687"/>
      <c r="S14" s="687"/>
      <c r="T14" s="687"/>
      <c r="U14" s="687"/>
    </row>
    <row r="15" spans="1:21" ht="15" thickBot="1" x14ac:dyDescent="0.4">
      <c r="A15" s="263"/>
      <c r="B15" s="98"/>
      <c r="C15" s="43"/>
      <c r="D15" s="43"/>
      <c r="E15" s="273"/>
      <c r="F15" s="815"/>
      <c r="G15" s="43"/>
      <c r="H15" s="43"/>
      <c r="I15" s="43"/>
      <c r="J15" s="150"/>
      <c r="K15" s="88"/>
      <c r="L15" s="88"/>
      <c r="M15" s="88"/>
      <c r="N15" s="88"/>
      <c r="O15" s="88"/>
      <c r="P15" s="88"/>
      <c r="Q15" s="687"/>
      <c r="R15" s="687"/>
      <c r="S15" s="687"/>
      <c r="T15" s="687"/>
      <c r="U15" s="687"/>
    </row>
    <row r="16" spans="1:21" ht="15" thickBot="1" x14ac:dyDescent="0.4">
      <c r="A16" s="263"/>
      <c r="B16" s="1836" t="s">
        <v>558</v>
      </c>
      <c r="C16" s="1839"/>
      <c r="D16" s="1837"/>
      <c r="E16" s="271"/>
      <c r="F16" s="815"/>
      <c r="G16" s="1836" t="s">
        <v>559</v>
      </c>
      <c r="H16" s="1839"/>
      <c r="I16" s="1837"/>
      <c r="J16" s="1219"/>
      <c r="K16" s="88"/>
      <c r="L16" s="88"/>
      <c r="M16" s="88"/>
      <c r="N16" s="88"/>
      <c r="O16" s="88"/>
      <c r="P16" s="88"/>
      <c r="Q16" s="687"/>
      <c r="R16" s="687"/>
      <c r="S16" s="687"/>
      <c r="T16" s="687"/>
      <c r="U16" s="687"/>
    </row>
    <row r="17" spans="1:16" s="687" customFormat="1" x14ac:dyDescent="0.35">
      <c r="A17" s="263"/>
      <c r="B17" s="275">
        <v>10</v>
      </c>
      <c r="C17" s="1696" t="s">
        <v>560</v>
      </c>
      <c r="D17" s="1697"/>
      <c r="E17" s="274"/>
      <c r="F17" s="815"/>
      <c r="G17" s="275"/>
      <c r="H17" s="1696" t="s">
        <v>561</v>
      </c>
      <c r="I17" s="1697"/>
      <c r="J17" s="1218"/>
      <c r="K17" s="88"/>
      <c r="L17" s="88"/>
      <c r="M17" s="88"/>
      <c r="N17" s="88"/>
      <c r="O17" s="88"/>
      <c r="P17" s="88"/>
    </row>
    <row r="18" spans="1:16" s="687" customFormat="1" x14ac:dyDescent="0.35">
      <c r="A18" s="263"/>
      <c r="B18" s="631">
        <f>'Brewery-Control Data'!$L$30</f>
        <v>0.453592</v>
      </c>
      <c r="C18" s="1696" t="s">
        <v>551</v>
      </c>
      <c r="D18" s="1697"/>
      <c r="E18" s="274"/>
      <c r="F18" s="815"/>
      <c r="G18" s="631">
        <f>'Brewery-Control Data'!$L$30</f>
        <v>0.453592</v>
      </c>
      <c r="H18" s="1696" t="s">
        <v>551</v>
      </c>
      <c r="I18" s="1697"/>
      <c r="J18" s="1218"/>
      <c r="K18" s="88"/>
      <c r="L18" s="88"/>
      <c r="M18" s="88"/>
      <c r="N18" s="88"/>
      <c r="O18" s="88"/>
      <c r="P18" s="88"/>
    </row>
    <row r="19" spans="1:16" s="687" customFormat="1" x14ac:dyDescent="0.35">
      <c r="A19" s="263"/>
      <c r="B19" s="714">
        <f>B17*B18</f>
        <v>4.53592</v>
      </c>
      <c r="C19" s="1696" t="s">
        <v>562</v>
      </c>
      <c r="D19" s="1697"/>
      <c r="E19" s="274"/>
      <c r="F19" s="815"/>
      <c r="G19" s="714">
        <f>G17*G18</f>
        <v>0</v>
      </c>
      <c r="H19" s="1696" t="s">
        <v>563</v>
      </c>
      <c r="I19" s="1697"/>
      <c r="J19" s="1218"/>
      <c r="K19" s="88"/>
      <c r="L19" s="88"/>
      <c r="M19" s="88"/>
      <c r="N19" s="88"/>
      <c r="O19" s="88"/>
      <c r="P19" s="88"/>
    </row>
    <row r="20" spans="1:16" s="687" customFormat="1" ht="15" thickBot="1" x14ac:dyDescent="0.4">
      <c r="A20" s="263"/>
      <c r="B20" s="1573">
        <v>1700</v>
      </c>
      <c r="C20" s="1698" t="s">
        <v>122</v>
      </c>
      <c r="D20" s="1699"/>
      <c r="E20" s="274"/>
      <c r="F20" s="815"/>
      <c r="G20" s="1573">
        <v>3922</v>
      </c>
      <c r="H20" s="1698" t="s">
        <v>122</v>
      </c>
      <c r="I20" s="1699"/>
      <c r="J20" s="1218"/>
      <c r="K20" s="88"/>
      <c r="L20" s="88"/>
      <c r="M20" s="88"/>
      <c r="N20" s="88"/>
      <c r="O20" s="88"/>
      <c r="P20" s="88"/>
    </row>
    <row r="21" spans="1:16" s="687" customFormat="1" ht="15" thickBot="1" x14ac:dyDescent="0.4">
      <c r="A21" s="263"/>
      <c r="B21" s="800">
        <f>B19*B20</f>
        <v>7711.0640000000003</v>
      </c>
      <c r="C21" s="1700" t="s">
        <v>564</v>
      </c>
      <c r="D21" s="1701"/>
      <c r="E21" s="274"/>
      <c r="F21" s="815"/>
      <c r="G21" s="800">
        <f>G19*G20</f>
        <v>0</v>
      </c>
      <c r="H21" s="1700" t="s">
        <v>565</v>
      </c>
      <c r="I21" s="1701"/>
      <c r="J21" s="1218"/>
      <c r="K21" s="88"/>
      <c r="L21" s="88"/>
      <c r="M21" s="88"/>
      <c r="N21" s="88"/>
      <c r="O21" s="88"/>
      <c r="P21" s="88"/>
    </row>
    <row r="22" spans="1:16" s="687" customFormat="1" ht="15" thickBot="1" x14ac:dyDescent="0.4">
      <c r="A22" s="263"/>
      <c r="B22" s="801">
        <f>'Brewery-Control Data'!$B$10</f>
        <v>123215.153565</v>
      </c>
      <c r="C22" s="635" t="s">
        <v>276</v>
      </c>
      <c r="D22" s="523"/>
      <c r="E22" s="274"/>
      <c r="F22" s="815"/>
      <c r="G22" s="801">
        <f>'Brewery-Control Data'!$B$10</f>
        <v>123215.153565</v>
      </c>
      <c r="H22" s="635" t="s">
        <v>276</v>
      </c>
      <c r="I22" s="523"/>
      <c r="J22" s="1218"/>
      <c r="K22" s="88"/>
      <c r="L22" s="88"/>
      <c r="M22" s="88"/>
      <c r="N22" s="88"/>
      <c r="O22" s="88"/>
      <c r="P22" s="88"/>
    </row>
    <row r="23" spans="1:16" s="687" customFormat="1" ht="15" thickBot="1" x14ac:dyDescent="0.4">
      <c r="A23" s="263"/>
      <c r="B23" s="522">
        <f>B21/B22</f>
        <v>6.2582107613347759E-2</v>
      </c>
      <c r="C23" s="334" t="s">
        <v>566</v>
      </c>
      <c r="D23" s="439"/>
      <c r="E23" s="274"/>
      <c r="F23" s="815"/>
      <c r="G23" s="522">
        <f>G21/G22</f>
        <v>0</v>
      </c>
      <c r="H23" s="334" t="s">
        <v>567</v>
      </c>
      <c r="I23" s="439"/>
      <c r="J23" s="1218"/>
      <c r="K23" s="88"/>
      <c r="L23" s="88"/>
      <c r="M23" s="88"/>
      <c r="N23" s="88"/>
      <c r="O23" s="88"/>
      <c r="P23" s="88"/>
    </row>
    <row r="24" spans="1:16" s="687" customFormat="1" ht="15" thickBot="1" x14ac:dyDescent="0.4">
      <c r="A24" s="263"/>
      <c r="B24" s="98"/>
      <c r="C24" s="43"/>
      <c r="D24" s="43"/>
      <c r="E24" s="273"/>
      <c r="F24" s="815"/>
      <c r="G24" s="43"/>
      <c r="H24" s="43"/>
      <c r="I24" s="43"/>
      <c r="J24" s="150"/>
      <c r="K24" s="88"/>
      <c r="L24" s="88"/>
      <c r="M24" s="88"/>
      <c r="N24" s="88"/>
      <c r="O24" s="88"/>
      <c r="P24" s="88"/>
    </row>
    <row r="25" spans="1:16" s="687" customFormat="1" ht="15" thickBot="1" x14ac:dyDescent="0.4">
      <c r="A25" s="263"/>
      <c r="B25" s="1836" t="s">
        <v>568</v>
      </c>
      <c r="C25" s="1839"/>
      <c r="D25" s="1837"/>
      <c r="E25" s="689"/>
      <c r="F25" s="815"/>
      <c r="G25" s="689"/>
      <c r="H25" s="689"/>
      <c r="I25" s="689"/>
      <c r="J25" s="150"/>
      <c r="K25" s="88"/>
      <c r="L25" s="88"/>
      <c r="M25" s="88"/>
      <c r="N25" s="88"/>
      <c r="O25" s="88"/>
      <c r="P25" s="88"/>
    </row>
    <row r="26" spans="1:16" s="687" customFormat="1" ht="15" thickBot="1" x14ac:dyDescent="0.4">
      <c r="A26" s="263"/>
      <c r="B26" s="1401">
        <f>B8+B17+G8+G17+G28</f>
        <v>30</v>
      </c>
      <c r="C26" s="1399" t="s">
        <v>569</v>
      </c>
      <c r="D26" s="1400"/>
      <c r="E26" s="689"/>
      <c r="F26" s="815"/>
      <c r="G26" s="1402" t="s">
        <v>570</v>
      </c>
      <c r="H26" s="689"/>
      <c r="I26" s="689"/>
      <c r="J26" s="150"/>
      <c r="K26" s="88"/>
      <c r="L26" s="88"/>
      <c r="M26" s="88"/>
      <c r="N26" s="88"/>
      <c r="O26" s="88"/>
      <c r="P26" s="88"/>
    </row>
    <row r="27" spans="1:16" s="687" customFormat="1" ht="15" thickBot="1" x14ac:dyDescent="0.4">
      <c r="A27" s="263"/>
      <c r="B27" s="800">
        <f>B12+G12+B21+G21+G32</f>
        <v>23768.220800000003</v>
      </c>
      <c r="C27" s="1700" t="s">
        <v>571</v>
      </c>
      <c r="D27" s="1701"/>
      <c r="E27" s="689"/>
      <c r="F27" s="815"/>
      <c r="G27" s="1852" t="s">
        <v>572</v>
      </c>
      <c r="H27" s="1853"/>
      <c r="I27" s="1854"/>
      <c r="J27" s="150"/>
      <c r="K27" s="88"/>
      <c r="L27" s="88"/>
      <c r="M27" s="88"/>
      <c r="N27" s="88"/>
      <c r="O27" s="88"/>
      <c r="P27" s="88"/>
    </row>
    <row r="28" spans="1:16" s="687" customFormat="1" ht="15" thickBot="1" x14ac:dyDescent="0.4">
      <c r="A28" s="263"/>
      <c r="B28" s="801">
        <f>'Brewery-Control Data'!$B$10</f>
        <v>123215.153565</v>
      </c>
      <c r="C28" s="635" t="s">
        <v>276</v>
      </c>
      <c r="D28" s="523"/>
      <c r="E28" s="689"/>
      <c r="F28" s="815"/>
      <c r="G28" s="275"/>
      <c r="H28" s="1398" t="s">
        <v>573</v>
      </c>
      <c r="I28" s="1697"/>
      <c r="J28" s="150"/>
      <c r="K28" s="88"/>
      <c r="L28" s="88"/>
      <c r="M28" s="88"/>
      <c r="N28" s="88"/>
      <c r="O28" s="88"/>
      <c r="P28" s="88"/>
    </row>
    <row r="29" spans="1:16" s="687" customFormat="1" ht="15" thickBot="1" x14ac:dyDescent="0.4">
      <c r="A29" s="263"/>
      <c r="B29" s="522">
        <f>B27/B28</f>
        <v>0.19290014346702489</v>
      </c>
      <c r="C29" s="334" t="s">
        <v>574</v>
      </c>
      <c r="D29" s="439"/>
      <c r="E29" s="689"/>
      <c r="F29" s="815"/>
      <c r="G29" s="631">
        <f>'Brewery-Control Data'!$L$30</f>
        <v>0.453592</v>
      </c>
      <c r="H29" s="1696" t="s">
        <v>551</v>
      </c>
      <c r="I29" s="1697"/>
      <c r="J29" s="150"/>
      <c r="K29" s="88"/>
      <c r="L29" s="88"/>
      <c r="M29" s="88"/>
      <c r="N29" s="88"/>
      <c r="O29" s="88"/>
      <c r="P29" s="88"/>
    </row>
    <row r="30" spans="1:16" s="687" customFormat="1" x14ac:dyDescent="0.35">
      <c r="A30" s="263"/>
      <c r="B30" s="689"/>
      <c r="C30" s="689"/>
      <c r="D30" s="689"/>
      <c r="E30" s="689"/>
      <c r="F30" s="815"/>
      <c r="G30" s="714">
        <f>G28*G29</f>
        <v>0</v>
      </c>
      <c r="H30" s="1696" t="s">
        <v>575</v>
      </c>
      <c r="I30" s="1697"/>
      <c r="J30" s="150"/>
      <c r="K30" s="88"/>
      <c r="L30" s="88"/>
      <c r="M30" s="88"/>
      <c r="N30" s="88"/>
      <c r="O30" s="88"/>
      <c r="P30" s="88"/>
    </row>
    <row r="31" spans="1:16" s="687" customFormat="1" ht="15" thickBot="1" x14ac:dyDescent="0.4">
      <c r="A31" s="263"/>
      <c r="B31" s="98"/>
      <c r="C31" s="43"/>
      <c r="D31" s="43"/>
      <c r="E31" s="273"/>
      <c r="F31" s="815"/>
      <c r="G31" s="275">
        <v>100</v>
      </c>
      <c r="H31" s="1698" t="s">
        <v>122</v>
      </c>
      <c r="I31" s="1699"/>
      <c r="J31" s="150"/>
      <c r="K31" s="88"/>
      <c r="L31" s="88"/>
      <c r="M31" s="88"/>
      <c r="N31" s="88"/>
      <c r="O31" s="88"/>
      <c r="P31" s="88"/>
    </row>
    <row r="32" spans="1:16" ht="15" thickBot="1" x14ac:dyDescent="0.4">
      <c r="A32" s="263"/>
      <c r="B32" s="1836" t="s">
        <v>576</v>
      </c>
      <c r="C32" s="1839"/>
      <c r="D32" s="1837"/>
      <c r="E32" s="271"/>
      <c r="F32" s="815"/>
      <c r="G32" s="800">
        <f>G30*G31</f>
        <v>0</v>
      </c>
      <c r="H32" s="1700" t="s">
        <v>577</v>
      </c>
      <c r="I32" s="1701"/>
      <c r="J32" s="1220"/>
      <c r="K32" s="355"/>
      <c r="L32" s="355"/>
      <c r="M32" s="355"/>
      <c r="N32" s="355"/>
      <c r="O32" s="803"/>
      <c r="P32" s="88"/>
    </row>
    <row r="33" spans="1:16" ht="15" thickBot="1" x14ac:dyDescent="0.4">
      <c r="A33" s="263"/>
      <c r="B33" s="718">
        <v>500000</v>
      </c>
      <c r="C33" s="1855" t="s">
        <v>578</v>
      </c>
      <c r="D33" s="1856"/>
      <c r="E33" s="274"/>
      <c r="F33" s="815"/>
      <c r="G33" s="801">
        <f>'Brewery-Control Data'!$B$10</f>
        <v>123215.153565</v>
      </c>
      <c r="H33" s="635" t="s">
        <v>276</v>
      </c>
      <c r="I33" s="523"/>
      <c r="J33" s="802"/>
      <c r="K33" s="158"/>
      <c r="L33" s="804"/>
      <c r="M33" s="158"/>
      <c r="N33" s="158"/>
      <c r="O33" s="803"/>
      <c r="P33" s="88"/>
    </row>
    <row r="34" spans="1:16" s="514" customFormat="1" ht="15" thickBot="1" x14ac:dyDescent="0.4">
      <c r="A34" s="263"/>
      <c r="B34" s="631">
        <f>'Brewery-Control Data'!$L$30</f>
        <v>0.453592</v>
      </c>
      <c r="C34" s="1696" t="s">
        <v>579</v>
      </c>
      <c r="D34" s="1697"/>
      <c r="E34" s="274"/>
      <c r="F34" s="815"/>
      <c r="G34" s="522">
        <f>G32/G33</f>
        <v>0</v>
      </c>
      <c r="H34" s="334" t="s">
        <v>580</v>
      </c>
      <c r="I34" s="439"/>
      <c r="J34" s="802"/>
      <c r="K34" s="46"/>
      <c r="L34" s="46"/>
      <c r="M34" s="46"/>
      <c r="N34" s="46"/>
      <c r="O34" s="803"/>
      <c r="P34" s="88"/>
    </row>
    <row r="35" spans="1:16" x14ac:dyDescent="0.35">
      <c r="A35" s="263"/>
      <c r="B35" s="292">
        <f>B33*B34</f>
        <v>226796</v>
      </c>
      <c r="C35" s="1855" t="s">
        <v>581</v>
      </c>
      <c r="D35" s="1856"/>
      <c r="E35" s="274"/>
      <c r="F35" s="815"/>
      <c r="G35" s="687"/>
      <c r="H35" s="687"/>
      <c r="I35" s="687"/>
      <c r="J35" s="802"/>
      <c r="K35" s="805"/>
      <c r="L35" s="806"/>
      <c r="M35" s="807"/>
      <c r="N35" s="733"/>
      <c r="O35" s="803"/>
      <c r="P35" s="88"/>
    </row>
    <row r="36" spans="1:16" x14ac:dyDescent="0.35">
      <c r="A36" s="263"/>
      <c r="B36" s="292">
        <f>'Brewery-Control Data'!B11</f>
        <v>105000</v>
      </c>
      <c r="C36" s="1696" t="s">
        <v>582</v>
      </c>
      <c r="D36" s="1697"/>
      <c r="E36" s="274"/>
      <c r="F36" s="815"/>
      <c r="G36" s="689"/>
      <c r="H36" s="689"/>
      <c r="I36" s="689"/>
      <c r="J36" s="802"/>
      <c r="K36" s="805"/>
      <c r="L36" s="806"/>
      <c r="M36" s="807"/>
      <c r="N36" s="733"/>
      <c r="O36" s="803"/>
      <c r="P36" s="88"/>
    </row>
    <row r="37" spans="1:16" x14ac:dyDescent="0.35">
      <c r="A37" s="263"/>
      <c r="B37" s="292">
        <f>'Brewery-Control Data'!B10</f>
        <v>123215.153565</v>
      </c>
      <c r="C37" s="1696" t="s">
        <v>583</v>
      </c>
      <c r="D37" s="1697"/>
      <c r="E37" s="689"/>
      <c r="F37" s="815"/>
      <c r="G37" s="689"/>
      <c r="H37" s="689"/>
      <c r="I37" s="689"/>
      <c r="J37" s="802"/>
      <c r="K37" s="732"/>
      <c r="L37" s="732"/>
      <c r="M37" s="732"/>
      <c r="N37" s="733"/>
      <c r="O37" s="803"/>
      <c r="P37" s="88"/>
    </row>
    <row r="38" spans="1:16" x14ac:dyDescent="0.35">
      <c r="A38" s="263"/>
      <c r="B38" s="294">
        <v>0.20399999999999999</v>
      </c>
      <c r="C38" s="1696" t="s">
        <v>584</v>
      </c>
      <c r="D38" s="1697"/>
      <c r="E38" s="274"/>
      <c r="F38" s="815"/>
      <c r="G38" s="689"/>
      <c r="H38" s="689"/>
      <c r="I38" s="689"/>
      <c r="J38" s="814"/>
      <c r="K38" s="732"/>
      <c r="L38" s="732"/>
      <c r="M38" s="732"/>
      <c r="N38" s="733"/>
      <c r="O38" s="803"/>
      <c r="P38" s="88"/>
    </row>
    <row r="39" spans="1:16" ht="15" thickBot="1" x14ac:dyDescent="0.4">
      <c r="A39" s="263"/>
      <c r="B39" s="1397">
        <f>B37*B38</f>
        <v>25135.89132726</v>
      </c>
      <c r="C39" s="1696" t="s">
        <v>585</v>
      </c>
      <c r="D39" s="1697"/>
      <c r="E39" s="274"/>
      <c r="F39" s="815"/>
      <c r="G39" s="689"/>
      <c r="H39" s="689"/>
      <c r="I39" s="689"/>
      <c r="J39" s="150"/>
      <c r="K39" s="734"/>
      <c r="L39" s="734"/>
      <c r="M39" s="16"/>
      <c r="N39" s="16"/>
      <c r="O39" s="803"/>
      <c r="P39" s="88"/>
    </row>
    <row r="40" spans="1:16" ht="15" thickBot="1" x14ac:dyDescent="0.4">
      <c r="A40" s="263"/>
      <c r="B40" s="826">
        <f>B35-B39</f>
        <v>201660.10867274</v>
      </c>
      <c r="C40" s="1700" t="s">
        <v>586</v>
      </c>
      <c r="D40" s="295"/>
      <c r="E40" s="274"/>
      <c r="F40" s="815"/>
      <c r="G40" s="689"/>
      <c r="H40" s="689"/>
      <c r="I40" s="689"/>
      <c r="J40" s="150"/>
      <c r="K40" s="158"/>
      <c r="L40" s="158"/>
      <c r="M40" s="158"/>
      <c r="N40" s="158"/>
      <c r="O40" s="803"/>
      <c r="P40" s="88"/>
    </row>
    <row r="41" spans="1:16" s="514" customFormat="1" ht="15" thickBot="1" x14ac:dyDescent="0.4">
      <c r="A41" s="263"/>
      <c r="B41" s="827">
        <f>'Brewery-Control Data'!$B$10</f>
        <v>123215.153565</v>
      </c>
      <c r="C41" s="635" t="s">
        <v>276</v>
      </c>
      <c r="D41" s="523"/>
      <c r="E41" s="274"/>
      <c r="F41" s="815"/>
      <c r="G41" s="689"/>
      <c r="H41" s="689"/>
      <c r="I41" s="689"/>
      <c r="J41" s="150"/>
      <c r="K41" s="46"/>
      <c r="L41" s="46"/>
      <c r="M41" s="46"/>
      <c r="N41" s="46"/>
      <c r="O41" s="803"/>
      <c r="P41" s="88"/>
    </row>
    <row r="42" spans="1:16" s="514" customFormat="1" ht="15" thickBot="1" x14ac:dyDescent="0.4">
      <c r="A42" s="263"/>
      <c r="B42" s="440">
        <f>B40/B41</f>
        <v>1.6366502239219929</v>
      </c>
      <c r="C42" s="334" t="s">
        <v>587</v>
      </c>
      <c r="D42" s="439"/>
      <c r="E42" s="274"/>
      <c r="F42" s="815"/>
      <c r="G42" s="689"/>
      <c r="H42" s="689"/>
      <c r="I42" s="689"/>
      <c r="J42" s="150"/>
      <c r="K42" s="805"/>
      <c r="L42" s="808"/>
      <c r="M42" s="807"/>
      <c r="N42" s="733"/>
      <c r="O42" s="803"/>
      <c r="P42" s="88"/>
    </row>
    <row r="43" spans="1:16" x14ac:dyDescent="0.35">
      <c r="A43" s="263"/>
      <c r="B43" s="98"/>
      <c r="C43" s="43"/>
      <c r="D43" s="43"/>
      <c r="E43" s="43"/>
      <c r="F43" s="43"/>
      <c r="G43" s="43"/>
      <c r="H43" s="43"/>
      <c r="I43" s="43"/>
      <c r="J43" s="150"/>
      <c r="K43" s="805"/>
      <c r="L43" s="808"/>
      <c r="M43" s="807"/>
      <c r="N43" s="733"/>
      <c r="O43" s="803"/>
      <c r="P43" s="88"/>
    </row>
    <row r="44" spans="1:16" ht="15" thickBot="1" x14ac:dyDescent="0.4">
      <c r="A44" s="263"/>
      <c r="B44" s="98"/>
      <c r="C44" s="43"/>
      <c r="D44" s="43"/>
      <c r="E44" s="43"/>
      <c r="F44" s="43"/>
      <c r="G44" s="43"/>
      <c r="H44" s="43"/>
      <c r="I44" s="43"/>
      <c r="J44" s="150"/>
      <c r="K44" s="732"/>
      <c r="L44" s="732"/>
      <c r="M44" s="732"/>
      <c r="N44" s="733"/>
      <c r="O44" s="803"/>
      <c r="P44" s="88"/>
    </row>
    <row r="45" spans="1:16" ht="15" thickBot="1" x14ac:dyDescent="0.4">
      <c r="A45" s="263"/>
      <c r="B45" s="1836" t="s">
        <v>588</v>
      </c>
      <c r="C45" s="1839"/>
      <c r="D45" s="1837"/>
      <c r="E45" s="271"/>
      <c r="F45" s="43"/>
      <c r="G45" s="43"/>
      <c r="H45" s="43"/>
      <c r="I45" s="43"/>
      <c r="J45" s="150"/>
      <c r="K45" s="803"/>
      <c r="L45" s="803"/>
      <c r="M45" s="803"/>
      <c r="N45" s="803"/>
      <c r="O45" s="803"/>
      <c r="P45" s="88"/>
    </row>
    <row r="46" spans="1:16" ht="15" thickBot="1" x14ac:dyDescent="0.4">
      <c r="A46" s="263"/>
      <c r="B46" s="867">
        <f>B27+B40</f>
        <v>225428.32947274001</v>
      </c>
      <c r="C46" s="278" t="s">
        <v>589</v>
      </c>
      <c r="D46" s="282"/>
      <c r="E46" s="274"/>
      <c r="F46" s="43"/>
      <c r="G46" s="1221"/>
      <c r="H46" s="1221"/>
      <c r="I46" s="1221"/>
      <c r="J46" s="150"/>
      <c r="K46" s="803"/>
      <c r="L46" s="803"/>
      <c r="M46" s="803"/>
      <c r="N46" s="803"/>
      <c r="O46" s="803"/>
      <c r="P46" s="88"/>
    </row>
    <row r="47" spans="1:16" ht="15" thickBot="1" x14ac:dyDescent="0.4">
      <c r="A47" s="263"/>
      <c r="B47" s="827">
        <f>'Brewery-Control Data'!$B$10</f>
        <v>123215.153565</v>
      </c>
      <c r="C47" s="635" t="s">
        <v>276</v>
      </c>
      <c r="D47" s="339"/>
      <c r="E47" s="274"/>
      <c r="F47" s="43"/>
      <c r="G47" s="43"/>
      <c r="H47" s="43"/>
      <c r="I47" s="43"/>
      <c r="J47" s="150"/>
      <c r="K47" s="88"/>
      <c r="L47" s="88"/>
      <c r="M47" s="88"/>
      <c r="N47" s="88"/>
      <c r="O47" s="88"/>
      <c r="P47" s="88"/>
    </row>
    <row r="48" spans="1:16" ht="15" thickBot="1" x14ac:dyDescent="0.4">
      <c r="A48" s="816"/>
      <c r="B48" s="440">
        <f>B46/B47</f>
        <v>1.8295503673890179</v>
      </c>
      <c r="C48" s="334" t="s">
        <v>590</v>
      </c>
      <c r="D48" s="439"/>
      <c r="E48" s="774"/>
      <c r="F48" s="147"/>
      <c r="G48" s="147"/>
      <c r="H48" s="147"/>
      <c r="I48" s="147"/>
      <c r="J48" s="825"/>
      <c r="K48" s="88"/>
      <c r="L48" s="88"/>
      <c r="M48" s="88"/>
      <c r="N48" s="88"/>
      <c r="O48" s="88"/>
      <c r="P48" s="88"/>
    </row>
    <row r="49" spans="1:16" s="514" customFormat="1" x14ac:dyDescent="0.35">
      <c r="A49" s="223"/>
      <c r="B49" s="687"/>
      <c r="C49" s="687"/>
      <c r="D49" s="687"/>
      <c r="E49" s="687"/>
      <c r="F49" s="44"/>
      <c r="G49" s="44"/>
      <c r="H49" s="44"/>
      <c r="I49" s="44"/>
      <c r="J49" s="166"/>
      <c r="K49" s="88"/>
      <c r="L49" s="88"/>
      <c r="M49" s="88"/>
      <c r="N49" s="88"/>
      <c r="O49" s="88"/>
      <c r="P49" s="88"/>
    </row>
    <row r="50" spans="1:16" s="687" customFormat="1" ht="15" thickBot="1" x14ac:dyDescent="0.4">
      <c r="A50" s="223"/>
      <c r="F50" s="44"/>
      <c r="G50" s="44"/>
      <c r="H50" s="44"/>
      <c r="I50" s="44"/>
      <c r="J50" s="166"/>
      <c r="K50" s="88"/>
      <c r="L50" s="88"/>
      <c r="M50" s="88"/>
      <c r="N50" s="88"/>
      <c r="O50" s="88"/>
      <c r="P50" s="88"/>
    </row>
    <row r="51" spans="1:16" s="687" customFormat="1" ht="16" thickBot="1" x14ac:dyDescent="0.4">
      <c r="A51" s="842" t="str">
        <f>(brew2_abb&amp;" Fugitive Emissions Data")</f>
        <v>2ND Fugitive Emissions Data</v>
      </c>
      <c r="B51" s="282"/>
      <c r="C51" s="282"/>
      <c r="F51" s="44"/>
      <c r="G51" s="44"/>
      <c r="H51" s="44"/>
      <c r="I51" s="44"/>
      <c r="J51" s="166"/>
      <c r="K51" s="88"/>
      <c r="L51" s="88"/>
      <c r="M51" s="88"/>
      <c r="N51" s="88"/>
      <c r="O51" s="88"/>
      <c r="P51" s="88"/>
    </row>
    <row r="52" spans="1:16" s="687" customFormat="1" ht="15" thickBot="1" x14ac:dyDescent="0.4">
      <c r="A52" s="823"/>
      <c r="B52" s="1836" t="s">
        <v>547</v>
      </c>
      <c r="C52" s="1839"/>
      <c r="D52" s="1837"/>
      <c r="E52" s="811"/>
      <c r="F52" s="812"/>
      <c r="G52" s="1836" t="s">
        <v>548</v>
      </c>
      <c r="H52" s="1839"/>
      <c r="I52" s="1837"/>
      <c r="J52" s="824"/>
      <c r="K52" s="88"/>
      <c r="L52" s="88"/>
      <c r="M52" s="88"/>
      <c r="N52" s="88"/>
      <c r="O52" s="88"/>
      <c r="P52" s="88"/>
    </row>
    <row r="53" spans="1:16" s="687" customFormat="1" x14ac:dyDescent="0.35">
      <c r="A53" s="263"/>
      <c r="B53" s="275">
        <v>0</v>
      </c>
      <c r="C53" s="1855" t="s">
        <v>549</v>
      </c>
      <c r="D53" s="1856"/>
      <c r="E53" s="274"/>
      <c r="F53" s="813"/>
      <c r="G53" s="275">
        <v>10</v>
      </c>
      <c r="H53" s="1696" t="s">
        <v>550</v>
      </c>
      <c r="I53" s="1697"/>
      <c r="J53" s="150"/>
      <c r="K53" s="88"/>
      <c r="L53" s="88"/>
      <c r="M53" s="88"/>
      <c r="N53" s="88"/>
      <c r="O53" s="88"/>
      <c r="P53" s="88"/>
    </row>
    <row r="54" spans="1:16" s="687" customFormat="1" x14ac:dyDescent="0.35">
      <c r="A54" s="263"/>
      <c r="B54" s="631">
        <f>'Brewery-Control Data'!$L$30</f>
        <v>0.453592</v>
      </c>
      <c r="C54" s="1696" t="s">
        <v>551</v>
      </c>
      <c r="D54" s="1697"/>
      <c r="E54" s="274"/>
      <c r="F54" s="813"/>
      <c r="G54" s="631">
        <f>'Brewery-Control Data'!$L$30</f>
        <v>0.453592</v>
      </c>
      <c r="H54" s="1696" t="s">
        <v>551</v>
      </c>
      <c r="I54" s="1697"/>
      <c r="J54" s="150"/>
      <c r="K54" s="88"/>
      <c r="L54" s="88"/>
      <c r="M54" s="88"/>
      <c r="N54" s="88"/>
      <c r="O54" s="88"/>
      <c r="P54" s="88"/>
    </row>
    <row r="55" spans="1:16" s="687" customFormat="1" x14ac:dyDescent="0.35">
      <c r="A55" s="263"/>
      <c r="B55" s="276">
        <f>B53*B54</f>
        <v>0</v>
      </c>
      <c r="C55" s="1855" t="s">
        <v>552</v>
      </c>
      <c r="D55" s="1856"/>
      <c r="E55" s="274"/>
      <c r="F55" s="813"/>
      <c r="G55" s="714">
        <f>G53*G54</f>
        <v>4.53592</v>
      </c>
      <c r="H55" s="1696" t="s">
        <v>553</v>
      </c>
      <c r="I55" s="1697"/>
      <c r="J55" s="150"/>
      <c r="K55" s="88"/>
      <c r="L55" s="88"/>
      <c r="M55" s="88"/>
      <c r="N55" s="88"/>
      <c r="O55" s="88"/>
      <c r="P55" s="88"/>
    </row>
    <row r="56" spans="1:16" s="687" customFormat="1" ht="15" thickBot="1" x14ac:dyDescent="0.4">
      <c r="A56" s="263"/>
      <c r="B56" s="1573">
        <v>1430</v>
      </c>
      <c r="C56" s="1859" t="s">
        <v>122</v>
      </c>
      <c r="D56" s="1860"/>
      <c r="E56" s="274"/>
      <c r="F56" s="813"/>
      <c r="G56" s="1573">
        <v>2110</v>
      </c>
      <c r="H56" s="1698" t="s">
        <v>122</v>
      </c>
      <c r="I56" s="1699"/>
      <c r="J56" s="150"/>
      <c r="K56" s="88"/>
      <c r="L56" s="88"/>
      <c r="M56" s="88"/>
      <c r="N56" s="88"/>
      <c r="O56" s="88"/>
      <c r="P56" s="88"/>
    </row>
    <row r="57" spans="1:16" s="687" customFormat="1" ht="15" thickBot="1" x14ac:dyDescent="0.4">
      <c r="A57" s="263"/>
      <c r="B57" s="800">
        <f>B55*B56</f>
        <v>0</v>
      </c>
      <c r="C57" s="1861" t="s">
        <v>554</v>
      </c>
      <c r="D57" s="1862"/>
      <c r="E57" s="274"/>
      <c r="F57" s="813"/>
      <c r="G57" s="800">
        <f>G55*G56</f>
        <v>9570.7911999999997</v>
      </c>
      <c r="H57" s="1700" t="s">
        <v>555</v>
      </c>
      <c r="I57" s="1701"/>
      <c r="J57" s="150"/>
      <c r="K57" s="88"/>
      <c r="L57" s="88"/>
      <c r="M57" s="88"/>
      <c r="N57" s="88"/>
      <c r="O57" s="88"/>
      <c r="P57" s="88"/>
    </row>
    <row r="58" spans="1:16" s="687" customFormat="1" ht="15" thickBot="1" x14ac:dyDescent="0.4">
      <c r="A58" s="263"/>
      <c r="B58" s="801">
        <f>'Brewery-Control Data'!$E$10</f>
        <v>88010.823974999992</v>
      </c>
      <c r="C58" s="635" t="s">
        <v>276</v>
      </c>
      <c r="D58" s="523"/>
      <c r="E58" s="274"/>
      <c r="F58" s="813"/>
      <c r="G58" s="801">
        <f>'Brewery-Control Data'!$E$10</f>
        <v>88010.823974999992</v>
      </c>
      <c r="H58" s="635" t="s">
        <v>276</v>
      </c>
      <c r="I58" s="523"/>
      <c r="J58" s="150"/>
      <c r="K58" s="88"/>
      <c r="L58" s="88"/>
      <c r="M58" s="88"/>
      <c r="N58" s="88"/>
      <c r="O58" s="88"/>
      <c r="P58" s="88"/>
    </row>
    <row r="59" spans="1:16" s="687" customFormat="1" ht="15" thickBot="1" x14ac:dyDescent="0.4">
      <c r="A59" s="263"/>
      <c r="B59" s="522">
        <f>B57/B58</f>
        <v>0</v>
      </c>
      <c r="C59" s="334" t="s">
        <v>556</v>
      </c>
      <c r="D59" s="439"/>
      <c r="E59" s="274"/>
      <c r="F59" s="813"/>
      <c r="G59" s="522">
        <f>G57/G58</f>
        <v>0.10874561522931135</v>
      </c>
      <c r="H59" s="334" t="s">
        <v>557</v>
      </c>
      <c r="I59" s="439"/>
      <c r="J59" s="150"/>
      <c r="K59" s="88"/>
      <c r="L59" s="88"/>
      <c r="M59" s="88"/>
      <c r="N59" s="88"/>
      <c r="O59" s="88"/>
      <c r="P59" s="88"/>
    </row>
    <row r="60" spans="1:16" s="687" customFormat="1" ht="15" thickBot="1" x14ac:dyDescent="0.4">
      <c r="A60" s="263"/>
      <c r="B60" s="98"/>
      <c r="C60" s="43"/>
      <c r="D60" s="43"/>
      <c r="E60" s="273"/>
      <c r="F60" s="815"/>
      <c r="G60" s="43"/>
      <c r="H60" s="43"/>
      <c r="I60" s="43"/>
      <c r="J60" s="150"/>
      <c r="K60" s="88"/>
      <c r="L60" s="88"/>
      <c r="M60" s="88"/>
      <c r="N60" s="88"/>
      <c r="O60" s="88"/>
      <c r="P60" s="88"/>
    </row>
    <row r="61" spans="1:16" s="687" customFormat="1" ht="15" thickBot="1" x14ac:dyDescent="0.4">
      <c r="A61" s="263"/>
      <c r="B61" s="1836" t="s">
        <v>591</v>
      </c>
      <c r="C61" s="1839"/>
      <c r="D61" s="1837"/>
      <c r="E61" s="271"/>
      <c r="F61" s="815"/>
      <c r="G61" s="1836" t="s">
        <v>592</v>
      </c>
      <c r="H61" s="1839"/>
      <c r="I61" s="1837"/>
      <c r="J61" s="150"/>
      <c r="K61" s="88"/>
      <c r="L61" s="88"/>
      <c r="M61" s="88"/>
      <c r="N61" s="88"/>
      <c r="O61" s="88"/>
      <c r="P61" s="88"/>
    </row>
    <row r="62" spans="1:16" s="687" customFormat="1" x14ac:dyDescent="0.35">
      <c r="A62" s="263"/>
      <c r="B62" s="275">
        <v>200</v>
      </c>
      <c r="C62" s="1696" t="s">
        <v>560</v>
      </c>
      <c r="D62" s="1697"/>
      <c r="E62" s="274"/>
      <c r="F62" s="815"/>
      <c r="G62" s="275">
        <v>0</v>
      </c>
      <c r="H62" s="1696" t="s">
        <v>561</v>
      </c>
      <c r="I62" s="1697"/>
      <c r="J62" s="150"/>
      <c r="K62" s="88"/>
      <c r="L62" s="88"/>
      <c r="M62" s="88"/>
      <c r="N62" s="88"/>
      <c r="O62" s="88"/>
      <c r="P62" s="88"/>
    </row>
    <row r="63" spans="1:16" s="687" customFormat="1" x14ac:dyDescent="0.35">
      <c r="A63" s="263"/>
      <c r="B63" s="631">
        <f>'Brewery-Control Data'!$L$30</f>
        <v>0.453592</v>
      </c>
      <c r="C63" s="1696" t="s">
        <v>551</v>
      </c>
      <c r="D63" s="1697"/>
      <c r="E63" s="274"/>
      <c r="F63" s="815"/>
      <c r="G63" s="631">
        <f>'Brewery-Control Data'!$L$30</f>
        <v>0.453592</v>
      </c>
      <c r="H63" s="1696" t="s">
        <v>551</v>
      </c>
      <c r="I63" s="1697"/>
      <c r="J63" s="150"/>
      <c r="K63" s="88"/>
      <c r="L63" s="88"/>
      <c r="M63" s="88"/>
      <c r="N63" s="88"/>
      <c r="O63" s="88"/>
      <c r="P63" s="88"/>
    </row>
    <row r="64" spans="1:16" s="687" customFormat="1" x14ac:dyDescent="0.35">
      <c r="A64" s="263"/>
      <c r="B64" s="714">
        <f>B62*B63</f>
        <v>90.718400000000003</v>
      </c>
      <c r="C64" s="1696" t="s">
        <v>562</v>
      </c>
      <c r="D64" s="1697"/>
      <c r="E64" s="274"/>
      <c r="F64" s="815"/>
      <c r="G64" s="714">
        <f>G62*G63</f>
        <v>0</v>
      </c>
      <c r="H64" s="1696" t="s">
        <v>563</v>
      </c>
      <c r="I64" s="1697"/>
      <c r="J64" s="150"/>
      <c r="K64" s="88"/>
      <c r="L64" s="88"/>
      <c r="M64" s="88"/>
      <c r="N64" s="88"/>
      <c r="O64" s="88"/>
      <c r="P64" s="88"/>
    </row>
    <row r="65" spans="1:16" s="687" customFormat="1" ht="15" thickBot="1" x14ac:dyDescent="0.4">
      <c r="A65" s="263"/>
      <c r="B65" s="1573">
        <v>3922</v>
      </c>
      <c r="C65" s="1698" t="s">
        <v>122</v>
      </c>
      <c r="D65" s="1699"/>
      <c r="E65" s="274"/>
      <c r="F65" s="815"/>
      <c r="G65" s="1573">
        <v>2088</v>
      </c>
      <c r="H65" s="1698" t="s">
        <v>122</v>
      </c>
      <c r="I65" s="1699"/>
      <c r="J65" s="150"/>
      <c r="K65" s="88"/>
      <c r="L65" s="88"/>
      <c r="M65" s="88"/>
      <c r="N65" s="88"/>
      <c r="O65" s="88"/>
      <c r="P65" s="88"/>
    </row>
    <row r="66" spans="1:16" s="687" customFormat="1" ht="15" thickBot="1" x14ac:dyDescent="0.4">
      <c r="A66" s="263"/>
      <c r="B66" s="800">
        <f>B64*B65</f>
        <v>355797.56479999999</v>
      </c>
      <c r="C66" s="1700" t="s">
        <v>593</v>
      </c>
      <c r="D66" s="1701"/>
      <c r="E66" s="274"/>
      <c r="F66" s="815"/>
      <c r="G66" s="800">
        <f>G64*G65</f>
        <v>0</v>
      </c>
      <c r="H66" s="1700" t="s">
        <v>594</v>
      </c>
      <c r="I66" s="1701"/>
      <c r="J66" s="150"/>
      <c r="K66" s="88"/>
      <c r="L66" s="88"/>
      <c r="M66" s="88"/>
      <c r="N66" s="88"/>
      <c r="O66" s="88"/>
      <c r="P66" s="88"/>
    </row>
    <row r="67" spans="1:16" s="687" customFormat="1" ht="15" thickBot="1" x14ac:dyDescent="0.4">
      <c r="A67" s="263"/>
      <c r="B67" s="801">
        <f>'Brewery-Control Data'!$E$10</f>
        <v>88010.823974999992</v>
      </c>
      <c r="C67" s="635" t="s">
        <v>276</v>
      </c>
      <c r="D67" s="523"/>
      <c r="E67" s="274"/>
      <c r="F67" s="815"/>
      <c r="G67" s="801">
        <f>'Brewery-Control Data'!$E$10</f>
        <v>88010.823974999992</v>
      </c>
      <c r="H67" s="635" t="s">
        <v>276</v>
      </c>
      <c r="I67" s="523"/>
      <c r="J67" s="150"/>
      <c r="K67" s="88"/>
      <c r="L67" s="88"/>
      <c r="M67" s="88"/>
      <c r="N67" s="88"/>
      <c r="O67" s="88"/>
      <c r="P67" s="88"/>
    </row>
    <row r="68" spans="1:16" s="687" customFormat="1" ht="15" thickBot="1" x14ac:dyDescent="0.4">
      <c r="A68" s="263"/>
      <c r="B68" s="522">
        <f>B66/B67</f>
        <v>4.0426568998043519</v>
      </c>
      <c r="C68" s="334" t="s">
        <v>595</v>
      </c>
      <c r="D68" s="439"/>
      <c r="E68" s="274"/>
      <c r="F68" s="815"/>
      <c r="G68" s="522">
        <f>G66/G67</f>
        <v>0</v>
      </c>
      <c r="H68" s="334" t="s">
        <v>596</v>
      </c>
      <c r="I68" s="439"/>
      <c r="J68" s="150"/>
      <c r="K68" s="88"/>
      <c r="L68" s="88"/>
      <c r="M68" s="88"/>
      <c r="N68" s="88"/>
      <c r="O68" s="88"/>
      <c r="P68" s="88"/>
    </row>
    <row r="69" spans="1:16" s="687" customFormat="1" ht="15" thickBot="1" x14ac:dyDescent="0.4">
      <c r="A69" s="263"/>
      <c r="B69" s="98"/>
      <c r="C69" s="43"/>
      <c r="D69" s="43"/>
      <c r="E69" s="273"/>
      <c r="F69" s="815"/>
      <c r="G69" s="43"/>
      <c r="H69" s="43"/>
      <c r="I69" s="43"/>
      <c r="J69" s="150"/>
      <c r="K69" s="88"/>
      <c r="L69" s="88"/>
      <c r="M69" s="88"/>
      <c r="N69" s="88"/>
      <c r="O69" s="88"/>
      <c r="P69" s="88"/>
    </row>
    <row r="70" spans="1:16" s="687" customFormat="1" ht="15" thickBot="1" x14ac:dyDescent="0.4">
      <c r="A70" s="263"/>
      <c r="B70" s="1836" t="s">
        <v>568</v>
      </c>
      <c r="C70" s="1839"/>
      <c r="D70" s="1837"/>
      <c r="E70" s="689"/>
      <c r="F70" s="815"/>
      <c r="G70" s="689"/>
      <c r="H70" s="689"/>
      <c r="I70" s="689"/>
      <c r="J70" s="150"/>
      <c r="K70" s="88"/>
      <c r="L70" s="88"/>
      <c r="M70" s="88"/>
      <c r="N70" s="88"/>
      <c r="O70" s="88"/>
      <c r="P70" s="88"/>
    </row>
    <row r="71" spans="1:16" s="687" customFormat="1" ht="15" thickBot="1" x14ac:dyDescent="0.4">
      <c r="A71" s="263"/>
      <c r="B71" s="1401">
        <f>B53+B62+G53+G62+G73</f>
        <v>210</v>
      </c>
      <c r="C71" s="1399" t="s">
        <v>569</v>
      </c>
      <c r="D71" s="1400"/>
      <c r="E71" s="689"/>
      <c r="F71" s="815"/>
      <c r="G71" s="1402" t="s">
        <v>570</v>
      </c>
      <c r="H71" s="689"/>
      <c r="I71" s="689"/>
      <c r="J71" s="150"/>
      <c r="K71" s="88"/>
      <c r="L71" s="88"/>
      <c r="M71" s="88"/>
      <c r="N71" s="88"/>
      <c r="O71" s="88"/>
      <c r="P71" s="88"/>
    </row>
    <row r="72" spans="1:16" s="687" customFormat="1" ht="15" thickBot="1" x14ac:dyDescent="0.4">
      <c r="A72" s="263"/>
      <c r="B72" s="800">
        <f>B57+G57+B66+G66+G77</f>
        <v>365368.35599999997</v>
      </c>
      <c r="C72" s="1700" t="s">
        <v>571</v>
      </c>
      <c r="D72" s="1701"/>
      <c r="E72" s="689"/>
      <c r="F72" s="815"/>
      <c r="G72" s="1852" t="s">
        <v>572</v>
      </c>
      <c r="H72" s="1853"/>
      <c r="I72" s="1854"/>
      <c r="J72" s="150"/>
      <c r="K72" s="88"/>
      <c r="L72" s="88"/>
      <c r="M72" s="88"/>
      <c r="N72" s="88"/>
      <c r="O72" s="88"/>
      <c r="P72" s="88"/>
    </row>
    <row r="73" spans="1:16" s="687" customFormat="1" ht="15" thickBot="1" x14ac:dyDescent="0.4">
      <c r="A73" s="263"/>
      <c r="B73" s="801">
        <f>'Brewery-Control Data'!$E$10</f>
        <v>88010.823974999992</v>
      </c>
      <c r="C73" s="635" t="s">
        <v>276</v>
      </c>
      <c r="D73" s="523"/>
      <c r="E73" s="689"/>
      <c r="F73" s="815"/>
      <c r="G73" s="275"/>
      <c r="H73" s="1398" t="s">
        <v>573</v>
      </c>
      <c r="I73" s="1697"/>
      <c r="J73" s="150"/>
      <c r="K73" s="88"/>
      <c r="L73" s="88"/>
      <c r="M73" s="88"/>
      <c r="N73" s="88"/>
      <c r="O73" s="88"/>
      <c r="P73" s="88"/>
    </row>
    <row r="74" spans="1:16" s="687" customFormat="1" ht="15" thickBot="1" x14ac:dyDescent="0.4">
      <c r="A74" s="263"/>
      <c r="B74" s="440">
        <f>B72/B73</f>
        <v>4.1514025150336629</v>
      </c>
      <c r="C74" s="334" t="s">
        <v>574</v>
      </c>
      <c r="D74" s="439"/>
      <c r="E74" s="689"/>
      <c r="F74" s="815"/>
      <c r="G74" s="631">
        <f>'Brewery-Control Data'!$L$30</f>
        <v>0.453592</v>
      </c>
      <c r="H74" s="1696" t="s">
        <v>551</v>
      </c>
      <c r="I74" s="1697"/>
      <c r="J74" s="150"/>
      <c r="K74" s="88"/>
      <c r="L74" s="88"/>
      <c r="M74" s="88"/>
      <c r="N74" s="88"/>
      <c r="O74" s="88"/>
      <c r="P74" s="88"/>
    </row>
    <row r="75" spans="1:16" s="687" customFormat="1" x14ac:dyDescent="0.35">
      <c r="A75" s="263"/>
      <c r="B75" s="689"/>
      <c r="C75" s="689"/>
      <c r="D75" s="689"/>
      <c r="E75" s="689"/>
      <c r="F75" s="815"/>
      <c r="G75" s="714">
        <f>G73*G74</f>
        <v>0</v>
      </c>
      <c r="H75" s="1696" t="s">
        <v>575</v>
      </c>
      <c r="I75" s="1697"/>
      <c r="J75" s="150"/>
      <c r="K75" s="88"/>
      <c r="L75" s="88"/>
      <c r="M75" s="88"/>
      <c r="N75" s="88"/>
      <c r="O75" s="88"/>
      <c r="P75" s="88"/>
    </row>
    <row r="76" spans="1:16" s="687" customFormat="1" ht="15" thickBot="1" x14ac:dyDescent="0.4">
      <c r="A76" s="263"/>
      <c r="B76" s="98"/>
      <c r="C76" s="43"/>
      <c r="D76" s="43"/>
      <c r="E76" s="273"/>
      <c r="F76" s="815"/>
      <c r="G76" s="275">
        <v>100</v>
      </c>
      <c r="H76" s="1698" t="s">
        <v>122</v>
      </c>
      <c r="I76" s="1699"/>
      <c r="J76" s="150"/>
      <c r="K76" s="88"/>
      <c r="L76" s="88"/>
      <c r="M76" s="88"/>
      <c r="N76" s="88"/>
      <c r="O76" s="88"/>
      <c r="P76" s="88"/>
    </row>
    <row r="77" spans="1:16" s="687" customFormat="1" ht="15" thickBot="1" x14ac:dyDescent="0.4">
      <c r="A77" s="263"/>
      <c r="B77" s="1836" t="s">
        <v>597</v>
      </c>
      <c r="C77" s="1839"/>
      <c r="D77" s="1837"/>
      <c r="E77" s="271"/>
      <c r="F77" s="815"/>
      <c r="G77" s="800">
        <f>G75*G76</f>
        <v>0</v>
      </c>
      <c r="H77" s="1700" t="s">
        <v>577</v>
      </c>
      <c r="I77" s="1701"/>
      <c r="J77" s="150"/>
      <c r="K77" s="88"/>
      <c r="L77" s="88"/>
      <c r="M77" s="88"/>
      <c r="N77" s="88"/>
      <c r="O77" s="88"/>
      <c r="P77" s="88"/>
    </row>
    <row r="78" spans="1:16" s="687" customFormat="1" ht="15" thickBot="1" x14ac:dyDescent="0.4">
      <c r="A78" s="263"/>
      <c r="B78" s="718">
        <v>300000</v>
      </c>
      <c r="C78" s="1855" t="s">
        <v>578</v>
      </c>
      <c r="D78" s="1856"/>
      <c r="E78" s="274"/>
      <c r="F78" s="815"/>
      <c r="G78" s="801">
        <f>'Brewery-Control Data'!$B$10</f>
        <v>123215.153565</v>
      </c>
      <c r="H78" s="635" t="s">
        <v>276</v>
      </c>
      <c r="I78" s="523"/>
      <c r="J78" s="150"/>
      <c r="K78" s="88"/>
      <c r="L78" s="88"/>
      <c r="M78" s="88"/>
      <c r="N78" s="88"/>
      <c r="O78" s="88"/>
      <c r="P78" s="88"/>
    </row>
    <row r="79" spans="1:16" s="687" customFormat="1" ht="15" thickBot="1" x14ac:dyDescent="0.4">
      <c r="A79" s="263"/>
      <c r="B79" s="631">
        <f>'Brewery-Control Data'!$L$30</f>
        <v>0.453592</v>
      </c>
      <c r="C79" s="1696" t="s">
        <v>579</v>
      </c>
      <c r="D79" s="1697"/>
      <c r="E79" s="274"/>
      <c r="F79" s="815"/>
      <c r="G79" s="522">
        <f>G77/G78</f>
        <v>0</v>
      </c>
      <c r="H79" s="334" t="s">
        <v>580</v>
      </c>
      <c r="I79" s="439"/>
      <c r="J79" s="150"/>
      <c r="K79" s="88"/>
      <c r="L79" s="88"/>
      <c r="M79" s="88"/>
      <c r="N79" s="88"/>
      <c r="O79" s="88"/>
      <c r="P79" s="88"/>
    </row>
    <row r="80" spans="1:16" s="687" customFormat="1" x14ac:dyDescent="0.35">
      <c r="A80" s="263"/>
      <c r="B80" s="292">
        <f>B78*B79</f>
        <v>136077.6</v>
      </c>
      <c r="C80" s="1855" t="s">
        <v>581</v>
      </c>
      <c r="D80" s="1856"/>
      <c r="E80" s="274"/>
      <c r="F80" s="815"/>
      <c r="J80" s="150"/>
      <c r="K80" s="88"/>
      <c r="L80" s="88"/>
      <c r="M80" s="88"/>
      <c r="N80" s="88"/>
      <c r="O80" s="88"/>
      <c r="P80" s="88"/>
    </row>
    <row r="81" spans="1:16" s="687" customFormat="1" x14ac:dyDescent="0.35">
      <c r="A81" s="263"/>
      <c r="B81" s="292">
        <f>'Brewery-Control Data'!E11</f>
        <v>75000</v>
      </c>
      <c r="C81" s="1696" t="s">
        <v>582</v>
      </c>
      <c r="D81" s="1697"/>
      <c r="E81" s="274"/>
      <c r="F81" s="815"/>
      <c r="G81" s="817"/>
      <c r="H81" s="355"/>
      <c r="I81" s="1696"/>
      <c r="J81" s="150"/>
      <c r="K81" s="88"/>
      <c r="L81" s="88"/>
      <c r="M81" s="88"/>
      <c r="N81" s="88"/>
      <c r="O81" s="88"/>
      <c r="P81" s="88"/>
    </row>
    <row r="82" spans="1:16" s="687" customFormat="1" x14ac:dyDescent="0.35">
      <c r="A82" s="263"/>
      <c r="B82" s="292">
        <f>'Brewery-Control Data'!E10</f>
        <v>88010.823974999992</v>
      </c>
      <c r="C82" s="1696" t="s">
        <v>583</v>
      </c>
      <c r="D82" s="1697"/>
      <c r="E82" s="689"/>
      <c r="F82" s="815"/>
      <c r="G82" s="818"/>
      <c r="H82" s="1696"/>
      <c r="I82" s="1696"/>
      <c r="J82" s="150"/>
      <c r="K82" s="88"/>
      <c r="L82" s="88"/>
      <c r="M82" s="88"/>
      <c r="N82" s="88"/>
      <c r="O82" s="88"/>
      <c r="P82" s="88"/>
    </row>
    <row r="83" spans="1:16" s="687" customFormat="1" x14ac:dyDescent="0.35">
      <c r="A83" s="263"/>
      <c r="B83" s="294">
        <v>0.20399999999999999</v>
      </c>
      <c r="C83" s="1696" t="s">
        <v>584</v>
      </c>
      <c r="D83" s="1697"/>
      <c r="E83" s="274"/>
      <c r="F83" s="815"/>
      <c r="G83" s="819"/>
      <c r="H83" s="1696"/>
      <c r="I83" s="1696"/>
      <c r="J83" s="150"/>
      <c r="K83" s="88"/>
      <c r="L83" s="88"/>
      <c r="M83" s="88"/>
      <c r="N83" s="88"/>
      <c r="O83" s="88"/>
      <c r="P83" s="88"/>
    </row>
    <row r="84" spans="1:16" s="687" customFormat="1" ht="15" thickBot="1" x14ac:dyDescent="0.4">
      <c r="A84" s="263"/>
      <c r="B84" s="293">
        <f>B82*B83</f>
        <v>17954.208090899996</v>
      </c>
      <c r="C84" s="1696" t="s">
        <v>585</v>
      </c>
      <c r="D84" s="1697"/>
      <c r="E84" s="274"/>
      <c r="F84" s="815"/>
      <c r="G84" s="809"/>
      <c r="H84" s="735"/>
      <c r="I84" s="1696"/>
      <c r="J84" s="150"/>
      <c r="K84" s="88"/>
      <c r="L84" s="88"/>
      <c r="M84" s="88"/>
      <c r="N84" s="88"/>
      <c r="O84" s="88"/>
      <c r="P84" s="88"/>
    </row>
    <row r="85" spans="1:16" s="687" customFormat="1" ht="15" thickBot="1" x14ac:dyDescent="0.4">
      <c r="A85" s="263"/>
      <c r="B85" s="826">
        <f>B80-B84</f>
        <v>118123.39190910001</v>
      </c>
      <c r="C85" s="1700" t="s">
        <v>586</v>
      </c>
      <c r="D85" s="295"/>
      <c r="E85" s="274"/>
      <c r="F85" s="815"/>
      <c r="G85" s="820"/>
      <c r="H85" s="198"/>
      <c r="I85" s="735"/>
      <c r="J85" s="150"/>
      <c r="K85" s="88"/>
      <c r="L85" s="88"/>
      <c r="M85" s="88"/>
      <c r="N85" s="88"/>
      <c r="O85" s="88"/>
      <c r="P85" s="88"/>
    </row>
    <row r="86" spans="1:16" s="687" customFormat="1" ht="15" thickBot="1" x14ac:dyDescent="0.4">
      <c r="A86" s="263"/>
      <c r="B86" s="827">
        <f>'Brewery-Control Data'!$E$10</f>
        <v>88010.823974999992</v>
      </c>
      <c r="C86" s="635" t="s">
        <v>276</v>
      </c>
      <c r="D86" s="523"/>
      <c r="E86" s="274"/>
      <c r="F86" s="815"/>
      <c r="G86" s="821"/>
      <c r="H86" s="198"/>
      <c r="I86" s="83"/>
      <c r="J86" s="150"/>
      <c r="K86" s="88"/>
      <c r="L86" s="88"/>
      <c r="M86" s="88"/>
      <c r="N86" s="88"/>
      <c r="O86" s="88"/>
      <c r="P86" s="88"/>
    </row>
    <row r="87" spans="1:16" s="687" customFormat="1" ht="15" thickBot="1" x14ac:dyDescent="0.4">
      <c r="A87" s="263"/>
      <c r="B87" s="440">
        <f>B85/B86</f>
        <v>1.3421461880944743</v>
      </c>
      <c r="C87" s="334" t="s">
        <v>587</v>
      </c>
      <c r="D87" s="439"/>
      <c r="E87" s="274"/>
      <c r="F87" s="815"/>
      <c r="G87" s="43"/>
      <c r="H87" s="43"/>
      <c r="I87" s="43"/>
      <c r="J87" s="150"/>
      <c r="K87" s="88"/>
      <c r="L87" s="88"/>
      <c r="M87" s="88"/>
      <c r="N87" s="88"/>
      <c r="O87" s="88"/>
      <c r="P87" s="88"/>
    </row>
    <row r="88" spans="1:16" s="687" customFormat="1" x14ac:dyDescent="0.35">
      <c r="A88" s="263"/>
      <c r="B88" s="98"/>
      <c r="C88" s="43"/>
      <c r="D88" s="43"/>
      <c r="E88" s="43"/>
      <c r="F88" s="43"/>
      <c r="G88" s="43"/>
      <c r="H88" s="43"/>
      <c r="I88" s="43"/>
      <c r="J88" s="150"/>
      <c r="K88" s="88"/>
      <c r="L88" s="88"/>
      <c r="M88" s="88"/>
      <c r="N88" s="88"/>
      <c r="O88" s="88"/>
      <c r="P88" s="88"/>
    </row>
    <row r="89" spans="1:16" s="687" customFormat="1" ht="15" thickBot="1" x14ac:dyDescent="0.4">
      <c r="A89" s="263"/>
      <c r="B89" s="98"/>
      <c r="C89" s="43"/>
      <c r="D89" s="43"/>
      <c r="E89" s="43"/>
      <c r="F89" s="43"/>
      <c r="G89" s="43"/>
      <c r="H89" s="43"/>
      <c r="I89" s="43"/>
      <c r="J89" s="150"/>
      <c r="K89" s="88"/>
      <c r="L89" s="88"/>
      <c r="M89" s="88"/>
      <c r="N89" s="88"/>
      <c r="O89" s="88"/>
      <c r="P89" s="88"/>
    </row>
    <row r="90" spans="1:16" s="687" customFormat="1" ht="15" thickBot="1" x14ac:dyDescent="0.4">
      <c r="A90" s="263"/>
      <c r="B90" s="1836" t="s">
        <v>588</v>
      </c>
      <c r="C90" s="1839"/>
      <c r="D90" s="1837"/>
      <c r="E90" s="271"/>
      <c r="F90" s="43"/>
      <c r="G90" s="43"/>
      <c r="H90" s="43"/>
      <c r="I90" s="43"/>
      <c r="J90" s="150"/>
      <c r="K90" s="88"/>
      <c r="L90" s="88"/>
      <c r="M90" s="88"/>
      <c r="N90" s="88"/>
      <c r="O90" s="88"/>
      <c r="P90" s="88"/>
    </row>
    <row r="91" spans="1:16" s="687" customFormat="1" ht="15" thickBot="1" x14ac:dyDescent="0.4">
      <c r="A91" s="263"/>
      <c r="B91" s="826">
        <f>B72+B85</f>
        <v>483491.74790909997</v>
      </c>
      <c r="C91" s="278" t="s">
        <v>589</v>
      </c>
      <c r="D91" s="282"/>
      <c r="E91" s="274"/>
      <c r="F91" s="43"/>
      <c r="G91" s="1222"/>
      <c r="H91" s="1222"/>
      <c r="I91" s="1222"/>
      <c r="J91" s="150"/>
      <c r="K91" s="88"/>
      <c r="L91" s="88"/>
      <c r="M91" s="88"/>
      <c r="N91" s="88"/>
      <c r="O91" s="88"/>
      <c r="P91" s="88"/>
    </row>
    <row r="92" spans="1:16" s="687" customFormat="1" ht="15" thickBot="1" x14ac:dyDescent="0.4">
      <c r="A92" s="263"/>
      <c r="B92" s="827">
        <f>'Brewery-Control Data'!$E$10</f>
        <v>88010.823974999992</v>
      </c>
      <c r="C92" s="635" t="s">
        <v>276</v>
      </c>
      <c r="D92" s="339"/>
      <c r="E92" s="274"/>
      <c r="F92" s="43"/>
      <c r="G92" s="43"/>
      <c r="H92" s="43"/>
      <c r="I92" s="43"/>
      <c r="J92" s="150"/>
      <c r="K92" s="88"/>
      <c r="L92" s="88"/>
      <c r="M92" s="88"/>
      <c r="N92" s="88"/>
      <c r="O92" s="88"/>
      <c r="P92" s="88"/>
    </row>
    <row r="93" spans="1:16" s="687" customFormat="1" ht="15" thickBot="1" x14ac:dyDescent="0.4">
      <c r="A93" s="816"/>
      <c r="B93" s="440">
        <f>B91/B92</f>
        <v>5.4935487031281376</v>
      </c>
      <c r="C93" s="334" t="s">
        <v>590</v>
      </c>
      <c r="D93" s="439"/>
      <c r="E93" s="774"/>
      <c r="F93" s="147"/>
      <c r="G93" s="147"/>
      <c r="H93" s="147"/>
      <c r="I93" s="147"/>
      <c r="J93" s="825"/>
      <c r="K93" s="88"/>
      <c r="L93" s="88"/>
      <c r="M93" s="88"/>
      <c r="N93" s="88"/>
      <c r="O93" s="88"/>
      <c r="P93" s="88"/>
    </row>
    <row r="94" spans="1:16" s="687" customFormat="1" x14ac:dyDescent="0.35">
      <c r="A94" s="223"/>
      <c r="F94" s="44"/>
      <c r="G94" s="44"/>
      <c r="H94" s="44"/>
      <c r="I94" s="44"/>
      <c r="J94" s="166"/>
      <c r="K94" s="88"/>
      <c r="L94" s="88"/>
      <c r="M94" s="88"/>
      <c r="N94" s="88"/>
      <c r="O94" s="88"/>
      <c r="P94" s="88"/>
    </row>
    <row r="95" spans="1:16" s="687" customFormat="1" ht="15" thickBot="1" x14ac:dyDescent="0.4">
      <c r="A95" s="223"/>
      <c r="F95" s="44"/>
      <c r="G95" s="44"/>
      <c r="H95" s="44"/>
      <c r="I95" s="44"/>
      <c r="J95" s="166"/>
      <c r="K95" s="88"/>
      <c r="L95" s="88"/>
      <c r="M95" s="88"/>
      <c r="N95" s="88"/>
      <c r="O95" s="88"/>
      <c r="P95" s="88"/>
    </row>
    <row r="96" spans="1:16" ht="16" thickBot="1" x14ac:dyDescent="0.4">
      <c r="A96" s="842" t="s">
        <v>492</v>
      </c>
      <c r="B96" s="546"/>
      <c r="C96" s="687"/>
      <c r="D96" s="687"/>
      <c r="E96" s="274"/>
      <c r="F96" s="44"/>
      <c r="G96" s="44"/>
      <c r="H96" s="44"/>
      <c r="I96" s="44"/>
      <c r="J96" s="166"/>
      <c r="K96" s="88"/>
      <c r="L96" s="88"/>
      <c r="M96" s="88"/>
      <c r="N96" s="88"/>
      <c r="O96" s="88"/>
      <c r="P96" s="88"/>
    </row>
    <row r="97" spans="1:23" s="687" customFormat="1" ht="16" thickBot="1" x14ac:dyDescent="0.4">
      <c r="A97" s="822"/>
      <c r="B97" s="87"/>
      <c r="E97" s="274"/>
      <c r="F97" s="44"/>
      <c r="G97" s="44"/>
      <c r="H97" s="44"/>
      <c r="I97" s="44"/>
      <c r="J97" s="166"/>
      <c r="K97" s="88"/>
      <c r="L97" s="88"/>
      <c r="M97" s="88"/>
      <c r="N97" s="88"/>
      <c r="O97" s="88"/>
      <c r="P97" s="88"/>
    </row>
    <row r="98" spans="1:23" ht="15" thickBot="1" x14ac:dyDescent="0.4">
      <c r="A98" s="223"/>
      <c r="B98" s="1836" t="s">
        <v>588</v>
      </c>
      <c r="C98" s="1839"/>
      <c r="D98" s="1837"/>
      <c r="E98" s="274"/>
      <c r="F98" s="44"/>
      <c r="G98" s="44"/>
      <c r="H98" s="44"/>
      <c r="I98" s="44"/>
      <c r="J98" s="88"/>
      <c r="K98" s="88"/>
      <c r="L98" s="88"/>
      <c r="M98" s="88"/>
      <c r="N98" s="88"/>
      <c r="O98" s="687"/>
      <c r="P98" s="687"/>
      <c r="Q98" s="687"/>
      <c r="R98" s="687"/>
      <c r="S98" s="687"/>
      <c r="T98" s="687"/>
      <c r="U98" s="687"/>
      <c r="V98" s="687"/>
      <c r="W98" s="687"/>
    </row>
    <row r="99" spans="1:23" ht="15" thickBot="1" x14ac:dyDescent="0.4">
      <c r="A99" s="223"/>
      <c r="B99" s="867">
        <f>B46+B91</f>
        <v>708920.07738183998</v>
      </c>
      <c r="C99" s="278" t="s">
        <v>589</v>
      </c>
      <c r="D99" s="282"/>
      <c r="E99" s="274"/>
      <c r="F99" s="44"/>
      <c r="G99" s="44"/>
      <c r="H99" s="44"/>
      <c r="I99" s="44"/>
      <c r="J99" s="88"/>
      <c r="K99" s="88"/>
      <c r="L99" s="88"/>
      <c r="M99" s="88"/>
      <c r="N99" s="88"/>
      <c r="O99" s="687"/>
      <c r="P99" s="687"/>
      <c r="Q99" s="687"/>
      <c r="R99" s="687"/>
      <c r="S99" s="687"/>
      <c r="T99" s="687"/>
      <c r="U99" s="687"/>
      <c r="V99" s="687"/>
      <c r="W99" s="687"/>
    </row>
    <row r="100" spans="1:23" s="514" customFormat="1" ht="15" thickBot="1" x14ac:dyDescent="0.4">
      <c r="A100" s="223"/>
      <c r="B100" s="902">
        <f>'Brewery-Control Data'!$H$10</f>
        <v>211225.97753999999</v>
      </c>
      <c r="C100" s="635" t="s">
        <v>276</v>
      </c>
      <c r="D100" s="141"/>
      <c r="E100" s="274"/>
      <c r="F100" s="44"/>
      <c r="G100" s="44"/>
      <c r="H100" s="44"/>
      <c r="I100" s="44"/>
      <c r="J100" s="88"/>
      <c r="K100" s="88"/>
      <c r="L100" s="88"/>
      <c r="M100" s="88"/>
      <c r="N100" s="88"/>
      <c r="O100" s="687"/>
      <c r="P100" s="687"/>
      <c r="Q100" s="687"/>
      <c r="R100" s="687"/>
      <c r="S100" s="687"/>
      <c r="T100" s="687"/>
      <c r="U100" s="687"/>
      <c r="V100" s="687"/>
      <c r="W100" s="687"/>
    </row>
    <row r="101" spans="1:23" s="514" customFormat="1" ht="15" thickBot="1" x14ac:dyDescent="0.4">
      <c r="A101" s="223"/>
      <c r="B101" s="440">
        <f>B99/B100</f>
        <v>3.3562163406136509</v>
      </c>
      <c r="C101" s="334" t="s">
        <v>590</v>
      </c>
      <c r="D101" s="439"/>
      <c r="E101" s="274"/>
      <c r="F101" s="44"/>
      <c r="G101" s="44"/>
      <c r="H101" s="44"/>
      <c r="I101" s="44"/>
      <c r="J101" s="88"/>
      <c r="K101" s="88"/>
      <c r="L101" s="88"/>
      <c r="M101" s="88"/>
      <c r="N101" s="88"/>
      <c r="O101" s="687"/>
      <c r="P101" s="687"/>
      <c r="Q101" s="687"/>
      <c r="R101" s="687"/>
      <c r="S101" s="687"/>
      <c r="T101" s="687"/>
      <c r="U101" s="687"/>
      <c r="V101" s="687"/>
      <c r="W101" s="687"/>
    </row>
    <row r="102" spans="1:23" x14ac:dyDescent="0.35">
      <c r="A102" s="223"/>
      <c r="B102" s="5"/>
      <c r="C102" s="44"/>
      <c r="D102" s="44"/>
      <c r="E102" s="44"/>
      <c r="F102" s="44"/>
      <c r="G102" s="44"/>
      <c r="H102" s="44"/>
      <c r="I102" s="44"/>
      <c r="J102" s="88"/>
      <c r="K102" s="88"/>
      <c r="L102" s="88"/>
      <c r="M102" s="88"/>
      <c r="N102" s="88"/>
      <c r="O102" s="687"/>
      <c r="P102" s="687"/>
      <c r="Q102" s="687"/>
      <c r="R102" s="687"/>
      <c r="S102" s="687"/>
      <c r="T102" s="687"/>
      <c r="U102" s="687"/>
      <c r="V102" s="687"/>
      <c r="W102" s="687"/>
    </row>
    <row r="103" spans="1:23" x14ac:dyDescent="0.35">
      <c r="A103" s="223"/>
      <c r="B103" s="43"/>
      <c r="C103" s="43"/>
      <c r="D103" s="43"/>
      <c r="E103" s="44"/>
      <c r="F103" s="44"/>
      <c r="G103" s="44"/>
      <c r="H103" s="44"/>
      <c r="I103" s="44"/>
      <c r="J103" s="88"/>
      <c r="K103" s="88"/>
      <c r="L103" s="88"/>
      <c r="M103" s="88"/>
      <c r="N103" s="88"/>
      <c r="O103" s="687"/>
      <c r="P103" s="687"/>
      <c r="Q103" s="687"/>
      <c r="R103" s="687"/>
      <c r="S103" s="687"/>
      <c r="T103" s="687"/>
      <c r="U103" s="687"/>
      <c r="V103" s="687"/>
      <c r="W103" s="687"/>
    </row>
    <row r="104" spans="1:23" s="157" customFormat="1" ht="12.5" x14ac:dyDescent="0.25">
      <c r="A104" s="142"/>
      <c r="B104" s="43"/>
      <c r="C104" s="43"/>
      <c r="D104" s="43"/>
      <c r="E104" s="43"/>
      <c r="F104" s="43"/>
      <c r="G104" s="44"/>
      <c r="H104" s="44"/>
      <c r="I104" s="44"/>
      <c r="J104" s="44"/>
      <c r="K104" s="156"/>
      <c r="L104" s="156"/>
      <c r="M104" s="156"/>
      <c r="N104" s="156"/>
    </row>
    <row r="105" spans="1:23" s="157" customFormat="1" ht="12.5" x14ac:dyDescent="0.25">
      <c r="A105" s="43"/>
      <c r="B105" s="43"/>
      <c r="C105" s="43"/>
      <c r="D105" s="43"/>
      <c r="E105" s="43"/>
      <c r="F105" s="43"/>
      <c r="G105" s="44"/>
      <c r="H105" s="44"/>
      <c r="I105" s="44"/>
      <c r="J105" s="44"/>
      <c r="K105" s="156"/>
      <c r="L105" s="156"/>
      <c r="M105" s="156"/>
      <c r="N105" s="156"/>
    </row>
    <row r="106" spans="1:23" s="157" customFormat="1" x14ac:dyDescent="0.35">
      <c r="A106" s="43"/>
      <c r="B106" s="43"/>
      <c r="C106" s="43"/>
      <c r="D106" s="43"/>
      <c r="E106" s="43"/>
      <c r="F106" s="43"/>
      <c r="G106" s="296"/>
      <c r="H106" s="296"/>
      <c r="I106" s="296"/>
      <c r="K106" s="158"/>
      <c r="L106" s="155"/>
      <c r="M106" s="156"/>
      <c r="N106" s="156"/>
      <c r="O106" s="156"/>
      <c r="P106" s="156"/>
    </row>
    <row r="107" spans="1:23" s="154" customFormat="1" ht="15" customHeight="1" thickBot="1" x14ac:dyDescent="0.4">
      <c r="A107" s="1864" t="s">
        <v>499</v>
      </c>
      <c r="B107" s="1864"/>
      <c r="C107" s="1864"/>
      <c r="D107" s="1864"/>
      <c r="E107" s="1864"/>
      <c r="F107" s="43"/>
      <c r="G107" s="296"/>
      <c r="H107" s="296"/>
      <c r="I107" s="296"/>
      <c r="J107" s="83"/>
      <c r="K107" s="46"/>
      <c r="L107" s="152"/>
      <c r="M107" s="153"/>
      <c r="N107" s="153"/>
      <c r="O107" s="153"/>
      <c r="P107" s="153"/>
    </row>
    <row r="108" spans="1:23" ht="15" thickTop="1" x14ac:dyDescent="0.35">
      <c r="A108" s="238" t="s">
        <v>598</v>
      </c>
      <c r="B108" s="296"/>
      <c r="C108" s="296"/>
      <c r="D108" s="296"/>
      <c r="E108" s="296"/>
      <c r="F108" s="296"/>
      <c r="G108" s="260"/>
      <c r="H108" s="260"/>
      <c r="I108" s="296"/>
      <c r="J108" s="296"/>
      <c r="K108" s="88"/>
      <c r="L108" s="88"/>
      <c r="M108" s="88"/>
      <c r="N108" s="88"/>
      <c r="O108" s="88"/>
      <c r="P108" s="88"/>
      <c r="Q108" s="687"/>
      <c r="R108" s="687"/>
      <c r="S108" s="687"/>
      <c r="T108" s="687"/>
      <c r="U108" s="687"/>
      <c r="V108" s="687"/>
      <c r="W108" s="687"/>
    </row>
    <row r="109" spans="1:23" x14ac:dyDescent="0.35">
      <c r="A109" s="239" t="s">
        <v>504</v>
      </c>
      <c r="B109" s="296"/>
      <c r="C109" s="296"/>
      <c r="D109" s="296"/>
      <c r="E109" s="296"/>
      <c r="F109" s="296"/>
      <c r="G109" s="297"/>
      <c r="H109" s="297"/>
      <c r="I109" s="296"/>
      <c r="J109" s="296"/>
      <c r="K109" s="88"/>
      <c r="L109" s="88"/>
      <c r="M109" s="88"/>
      <c r="N109" s="88"/>
      <c r="O109" s="88"/>
      <c r="P109" s="88"/>
      <c r="Q109" s="687"/>
      <c r="R109" s="687"/>
      <c r="S109" s="687"/>
      <c r="T109" s="687"/>
      <c r="U109" s="687"/>
      <c r="V109" s="687"/>
      <c r="W109" s="687"/>
    </row>
    <row r="110" spans="1:23" s="154" customFormat="1" ht="15" customHeight="1" x14ac:dyDescent="0.35">
      <c r="A110" s="688" t="s">
        <v>505</v>
      </c>
      <c r="B110" s="690"/>
      <c r="C110" s="687"/>
      <c r="D110" s="261"/>
      <c r="E110" s="261"/>
      <c r="F110" s="261"/>
      <c r="G110" s="690"/>
      <c r="H110" s="690"/>
      <c r="I110" s="296"/>
      <c r="J110" s="108"/>
      <c r="K110" s="153"/>
      <c r="L110" s="152"/>
      <c r="M110" s="153"/>
      <c r="N110" s="153"/>
      <c r="O110" s="153"/>
      <c r="P110" s="153"/>
    </row>
    <row r="111" spans="1:23" x14ac:dyDescent="0.35">
      <c r="A111" s="687"/>
      <c r="B111" s="696" t="s">
        <v>124</v>
      </c>
      <c r="C111" s="687"/>
      <c r="D111" s="690"/>
      <c r="E111" s="690"/>
      <c r="F111" s="690"/>
      <c r="G111" s="690"/>
      <c r="H111" s="690"/>
      <c r="I111" s="296"/>
      <c r="J111" s="297"/>
      <c r="K111" s="687"/>
      <c r="L111" s="687"/>
      <c r="M111" s="687"/>
      <c r="N111" s="687"/>
      <c r="O111" s="687"/>
      <c r="P111" s="687"/>
      <c r="Q111" s="687"/>
      <c r="R111" s="687"/>
      <c r="S111" s="687"/>
      <c r="T111" s="687"/>
      <c r="U111" s="687"/>
      <c r="V111" s="687"/>
      <c r="W111" s="687"/>
    </row>
    <row r="112" spans="1:23" s="687" customFormat="1" x14ac:dyDescent="0.35">
      <c r="B112" s="690"/>
      <c r="C112" s="690"/>
      <c r="D112" s="690"/>
      <c r="E112" s="690"/>
      <c r="F112" s="690"/>
      <c r="G112" s="690"/>
      <c r="H112" s="690"/>
      <c r="I112" s="296"/>
      <c r="J112" s="297"/>
    </row>
    <row r="113" spans="1:23" x14ac:dyDescent="0.35">
      <c r="A113" s="270" t="s">
        <v>599</v>
      </c>
      <c r="B113" s="220"/>
      <c r="C113" s="220"/>
      <c r="D113" s="220"/>
      <c r="E113" s="220"/>
      <c r="F113" s="690"/>
      <c r="G113" s="690"/>
      <c r="H113" s="690"/>
      <c r="I113" s="296"/>
      <c r="J113" s="297"/>
      <c r="K113" s="687"/>
      <c r="L113" s="687"/>
      <c r="M113" s="687"/>
      <c r="N113" s="687"/>
      <c r="O113" s="687"/>
      <c r="P113" s="687"/>
      <c r="Q113" s="687"/>
      <c r="R113" s="687"/>
      <c r="S113" s="687"/>
      <c r="T113" s="687"/>
      <c r="U113" s="687"/>
      <c r="V113" s="687"/>
      <c r="W113" s="687"/>
    </row>
    <row r="114" spans="1:23" x14ac:dyDescent="0.35">
      <c r="A114" s="687"/>
      <c r="B114" s="242" t="s">
        <v>600</v>
      </c>
      <c r="C114" s="223"/>
      <c r="D114" s="223"/>
      <c r="E114" s="223"/>
      <c r="F114" s="223"/>
      <c r="G114" s="690"/>
      <c r="H114" s="690"/>
      <c r="I114" s="296"/>
      <c r="J114" s="736"/>
      <c r="K114" s="88"/>
      <c r="L114" s="88"/>
      <c r="M114" s="88"/>
      <c r="N114" s="88"/>
      <c r="O114" s="88"/>
      <c r="P114" s="88"/>
      <c r="Q114" s="687"/>
      <c r="R114" s="687"/>
      <c r="S114" s="687"/>
      <c r="T114" s="687"/>
      <c r="U114" s="687"/>
      <c r="V114" s="687"/>
      <c r="W114" s="687"/>
    </row>
    <row r="115" spans="1:23" x14ac:dyDescent="0.35">
      <c r="A115" s="687"/>
      <c r="B115" s="690" t="s">
        <v>601</v>
      </c>
      <c r="C115" s="690"/>
      <c r="D115" s="690"/>
      <c r="E115" s="690"/>
      <c r="F115" s="690"/>
      <c r="G115" s="690"/>
      <c r="H115" s="690"/>
      <c r="I115" s="690"/>
      <c r="J115" s="297"/>
      <c r="K115" s="687"/>
      <c r="L115" s="687"/>
      <c r="M115" s="687"/>
      <c r="N115" s="687"/>
      <c r="O115" s="687"/>
      <c r="P115" s="687"/>
      <c r="Q115" s="687"/>
      <c r="R115" s="687"/>
      <c r="S115" s="687"/>
      <c r="T115" s="687"/>
      <c r="U115" s="687"/>
      <c r="V115" s="687"/>
      <c r="W115" s="687"/>
    </row>
    <row r="116" spans="1:23" x14ac:dyDescent="0.35">
      <c r="A116" s="687"/>
      <c r="B116" s="687"/>
      <c r="C116" s="690"/>
      <c r="D116" s="690"/>
      <c r="E116" s="690"/>
      <c r="F116" s="690"/>
      <c r="G116" s="690"/>
      <c r="H116" s="690"/>
      <c r="I116" s="690"/>
      <c r="J116" s="297"/>
      <c r="K116" s="687"/>
      <c r="L116" s="687"/>
      <c r="M116" s="687"/>
      <c r="N116" s="687"/>
      <c r="O116" s="687"/>
      <c r="P116" s="687"/>
      <c r="Q116" s="687"/>
      <c r="R116" s="687"/>
      <c r="S116" s="687"/>
      <c r="T116" s="687"/>
      <c r="U116" s="687"/>
      <c r="V116" s="687"/>
      <c r="W116" s="687"/>
    </row>
    <row r="117" spans="1:23" x14ac:dyDescent="0.35">
      <c r="A117" s="690"/>
      <c r="B117" s="690"/>
      <c r="C117" s="690"/>
      <c r="D117" s="690"/>
      <c r="E117" s="690"/>
      <c r="F117" s="690"/>
      <c r="G117" s="690"/>
      <c r="H117" s="690"/>
      <c r="I117" s="690"/>
      <c r="J117" s="297"/>
      <c r="K117" s="687"/>
      <c r="L117" s="687"/>
      <c r="M117" s="687"/>
      <c r="N117" s="687"/>
      <c r="O117" s="687"/>
      <c r="P117" s="687"/>
      <c r="Q117" s="687"/>
      <c r="R117" s="687"/>
      <c r="S117" s="687"/>
      <c r="T117" s="687"/>
      <c r="U117" s="687"/>
      <c r="V117" s="687"/>
      <c r="W117" s="687"/>
    </row>
    <row r="118" spans="1:23" ht="16" thickBot="1" x14ac:dyDescent="0.4">
      <c r="A118" s="1678"/>
      <c r="B118" s="1678"/>
      <c r="C118" s="1678"/>
      <c r="D118" s="1678"/>
      <c r="E118" s="1678"/>
      <c r="F118" s="1678"/>
      <c r="G118" s="1678"/>
      <c r="H118" s="1678"/>
      <c r="I118" s="1678"/>
      <c r="J118" s="1679" t="s">
        <v>72</v>
      </c>
      <c r="K118" s="1680"/>
      <c r="L118" s="1680"/>
      <c r="M118" s="1680"/>
      <c r="N118" s="1680"/>
      <c r="O118" s="1680"/>
      <c r="P118" s="1681"/>
      <c r="Q118" s="687"/>
      <c r="R118" s="687"/>
      <c r="S118" s="687"/>
      <c r="T118" s="687"/>
      <c r="U118" s="687"/>
      <c r="V118" s="687"/>
      <c r="W118" s="687"/>
    </row>
    <row r="119" spans="1:23" ht="15" thickTop="1" x14ac:dyDescent="0.35">
      <c r="A119" s="87"/>
      <c r="B119" s="87"/>
      <c r="C119" s="87"/>
      <c r="D119" s="87"/>
      <c r="E119" s="87"/>
      <c r="F119" s="87"/>
      <c r="G119" s="87"/>
      <c r="H119" s="87"/>
      <c r="I119" s="87"/>
      <c r="K119" s="457"/>
      <c r="L119" s="457"/>
      <c r="M119" s="457"/>
      <c r="N119" s="457"/>
      <c r="O119" s="457"/>
      <c r="P119" s="457"/>
      <c r="Q119" s="687"/>
      <c r="R119" s="687"/>
      <c r="S119" s="687"/>
      <c r="T119" s="687"/>
      <c r="U119" s="687"/>
      <c r="V119" s="687"/>
      <c r="W119" s="687"/>
    </row>
    <row r="120" spans="1:23" x14ac:dyDescent="0.35">
      <c r="A120" s="690"/>
      <c r="B120" s="690"/>
      <c r="C120" s="690"/>
      <c r="D120" s="690"/>
      <c r="E120" s="690"/>
      <c r="F120" s="690"/>
      <c r="G120" s="690"/>
      <c r="H120" s="690"/>
      <c r="I120" s="690"/>
      <c r="J120" s="297"/>
      <c r="K120" s="687"/>
      <c r="L120" s="687"/>
      <c r="M120" s="687"/>
      <c r="N120" s="687"/>
      <c r="O120" s="687"/>
      <c r="P120" s="687"/>
      <c r="Q120" s="687"/>
      <c r="R120" s="687"/>
      <c r="S120" s="687"/>
      <c r="T120" s="687"/>
      <c r="U120" s="687"/>
      <c r="V120" s="687"/>
      <c r="W120" s="687"/>
    </row>
    <row r="121" spans="1:23" x14ac:dyDescent="0.35">
      <c r="A121" s="690"/>
      <c r="B121" s="690"/>
      <c r="C121" s="690"/>
      <c r="D121" s="690"/>
      <c r="E121" s="690"/>
      <c r="F121" s="690"/>
      <c r="G121" s="690"/>
      <c r="H121" s="690"/>
      <c r="I121" s="690"/>
      <c r="J121" s="297"/>
      <c r="K121" s="687"/>
      <c r="L121" s="687"/>
      <c r="M121" s="687"/>
      <c r="N121" s="687"/>
      <c r="O121" s="687"/>
      <c r="P121" s="687"/>
      <c r="Q121" s="687"/>
      <c r="R121" s="687"/>
      <c r="S121" s="687"/>
      <c r="T121" s="687"/>
      <c r="U121" s="687"/>
      <c r="V121" s="687"/>
      <c r="W121" s="687"/>
    </row>
    <row r="122" spans="1:23" x14ac:dyDescent="0.35">
      <c r="A122" s="690"/>
      <c r="B122" s="690"/>
      <c r="C122" s="690"/>
      <c r="D122" s="690"/>
      <c r="E122" s="690"/>
      <c r="F122" s="690"/>
      <c r="G122" s="690"/>
      <c r="H122" s="690"/>
      <c r="I122" s="690"/>
      <c r="J122" s="297"/>
      <c r="K122" s="687"/>
      <c r="L122" s="687"/>
      <c r="M122" s="687"/>
      <c r="N122" s="687"/>
      <c r="O122" s="687"/>
      <c r="P122" s="687"/>
      <c r="Q122" s="687"/>
      <c r="R122" s="687"/>
      <c r="S122" s="687"/>
      <c r="T122" s="687"/>
      <c r="U122" s="687"/>
      <c r="V122" s="687"/>
      <c r="W122" s="687"/>
    </row>
    <row r="123" spans="1:23" x14ac:dyDescent="0.35">
      <c r="A123" s="690"/>
      <c r="B123" s="690"/>
      <c r="C123" s="690"/>
      <c r="D123" s="690"/>
      <c r="E123" s="690"/>
      <c r="F123" s="690"/>
      <c r="G123" s="690"/>
      <c r="H123" s="690"/>
      <c r="I123" s="690"/>
      <c r="J123" s="297"/>
      <c r="K123" s="687"/>
      <c r="L123" s="687"/>
      <c r="M123" s="687"/>
      <c r="N123" s="687"/>
      <c r="O123" s="687"/>
      <c r="P123" s="687"/>
      <c r="Q123" s="687"/>
      <c r="R123" s="687"/>
      <c r="S123" s="687"/>
      <c r="T123" s="687"/>
      <c r="U123" s="687"/>
      <c r="V123" s="687"/>
      <c r="W123" s="687"/>
    </row>
    <row r="124" spans="1:23" x14ac:dyDescent="0.35">
      <c r="A124" s="690"/>
      <c r="B124" s="690"/>
      <c r="C124" s="690"/>
      <c r="D124" s="690"/>
      <c r="E124" s="690"/>
      <c r="F124" s="690"/>
      <c r="G124" s="690"/>
      <c r="H124" s="690"/>
      <c r="I124" s="690"/>
      <c r="J124" s="297"/>
      <c r="K124" s="687"/>
      <c r="L124" s="687"/>
      <c r="M124" s="687"/>
      <c r="N124" s="687"/>
      <c r="O124" s="687"/>
      <c r="P124" s="687"/>
      <c r="Q124" s="687"/>
      <c r="R124" s="687"/>
      <c r="S124" s="687"/>
      <c r="T124" s="687"/>
      <c r="U124" s="687"/>
      <c r="V124" s="687"/>
      <c r="W124" s="687"/>
    </row>
    <row r="125" spans="1:23" x14ac:dyDescent="0.35">
      <c r="A125" s="690"/>
      <c r="B125" s="690"/>
      <c r="C125" s="690"/>
      <c r="D125" s="690"/>
      <c r="E125" s="690"/>
      <c r="F125" s="690"/>
      <c r="G125" s="687"/>
      <c r="H125" s="687"/>
      <c r="I125" s="687"/>
      <c r="J125" s="297"/>
      <c r="K125" s="687"/>
      <c r="L125" s="687"/>
      <c r="M125" s="687"/>
      <c r="N125" s="687"/>
      <c r="O125" s="687"/>
      <c r="P125" s="687"/>
      <c r="Q125" s="687"/>
      <c r="R125" s="687"/>
      <c r="S125" s="687"/>
      <c r="T125" s="687"/>
      <c r="U125" s="687"/>
      <c r="V125" s="687"/>
      <c r="W125" s="687"/>
    </row>
    <row r="126" spans="1:23" x14ac:dyDescent="0.35">
      <c r="A126" s="690"/>
      <c r="B126" s="690"/>
      <c r="C126" s="690"/>
      <c r="D126" s="690"/>
      <c r="E126" s="690"/>
      <c r="F126" s="690"/>
      <c r="G126" s="687"/>
      <c r="H126" s="687"/>
      <c r="I126" s="687"/>
      <c r="J126" s="297"/>
      <c r="K126" s="687"/>
      <c r="L126" s="687"/>
      <c r="M126" s="687"/>
      <c r="N126" s="687"/>
      <c r="O126" s="687"/>
      <c r="P126" s="687"/>
      <c r="Q126" s="687"/>
      <c r="R126" s="687"/>
      <c r="S126" s="687"/>
      <c r="T126" s="687"/>
      <c r="U126" s="687"/>
      <c r="V126" s="687"/>
      <c r="W126" s="687"/>
    </row>
    <row r="127" spans="1:23" x14ac:dyDescent="0.35">
      <c r="A127" s="687"/>
      <c r="B127" s="687"/>
      <c r="C127" s="687"/>
      <c r="D127" s="687"/>
      <c r="E127" s="687"/>
      <c r="F127" s="687"/>
      <c r="G127" s="687"/>
      <c r="H127" s="687"/>
      <c r="I127" s="687"/>
      <c r="K127" s="687"/>
      <c r="L127" s="687"/>
      <c r="M127" s="687"/>
      <c r="N127" s="687"/>
      <c r="O127" s="687"/>
      <c r="P127" s="687"/>
      <c r="Q127" s="687"/>
      <c r="R127" s="687"/>
      <c r="S127" s="687"/>
      <c r="T127" s="687"/>
      <c r="U127" s="687"/>
      <c r="V127" s="687"/>
      <c r="W127" s="687"/>
    </row>
    <row r="128" spans="1:23" x14ac:dyDescent="0.35">
      <c r="A128" s="687"/>
      <c r="B128" s="687"/>
      <c r="C128" s="687"/>
      <c r="D128" s="687"/>
      <c r="E128" s="687"/>
      <c r="F128" s="687"/>
      <c r="G128" s="687"/>
      <c r="H128" s="687"/>
      <c r="I128" s="687"/>
      <c r="K128" s="687"/>
      <c r="L128" s="687"/>
      <c r="M128" s="687"/>
      <c r="N128" s="687"/>
      <c r="O128" s="687"/>
      <c r="P128" s="687"/>
      <c r="Q128" s="687"/>
      <c r="R128" s="687"/>
      <c r="S128" s="687"/>
      <c r="T128" s="687"/>
      <c r="U128" s="687"/>
      <c r="V128" s="687"/>
      <c r="W128" s="687"/>
    </row>
    <row r="129" spans="1:23" x14ac:dyDescent="0.35">
      <c r="A129" s="687"/>
      <c r="B129" s="687"/>
      <c r="C129" s="687"/>
      <c r="D129" s="687"/>
      <c r="E129" s="687"/>
      <c r="F129" s="687"/>
      <c r="G129" s="687"/>
      <c r="H129" s="687"/>
      <c r="I129" s="687"/>
      <c r="K129" s="687"/>
      <c r="L129" s="687"/>
      <c r="M129" s="687"/>
      <c r="N129" s="687"/>
      <c r="O129" s="687"/>
      <c r="P129" s="687"/>
      <c r="Q129" s="687"/>
      <c r="R129" s="687"/>
      <c r="S129" s="687"/>
      <c r="T129" s="687"/>
      <c r="U129" s="687"/>
      <c r="V129" s="687"/>
      <c r="W129" s="687"/>
    </row>
    <row r="130" spans="1:23" x14ac:dyDescent="0.35">
      <c r="A130" s="687"/>
      <c r="B130" s="687"/>
      <c r="C130" s="687"/>
      <c r="D130" s="687"/>
      <c r="E130" s="687"/>
      <c r="F130" s="687"/>
      <c r="G130" s="687"/>
      <c r="H130" s="687"/>
      <c r="I130" s="687"/>
      <c r="K130" s="687"/>
      <c r="L130" s="687"/>
      <c r="M130" s="687"/>
      <c r="N130" s="687"/>
      <c r="O130" s="687"/>
      <c r="P130" s="687"/>
      <c r="Q130" s="687"/>
      <c r="R130" s="687"/>
      <c r="S130" s="687"/>
      <c r="T130" s="687"/>
      <c r="U130" s="687"/>
      <c r="V130" s="687"/>
      <c r="W130" s="687"/>
    </row>
    <row r="140" spans="1:23" x14ac:dyDescent="0.35">
      <c r="A140" s="687"/>
      <c r="B140" s="687"/>
      <c r="C140" s="687"/>
      <c r="D140" s="687"/>
      <c r="E140" s="687"/>
      <c r="F140" s="687"/>
      <c r="G140" s="44"/>
      <c r="H140" s="44"/>
      <c r="I140" s="687"/>
      <c r="K140" s="687"/>
      <c r="L140" s="687"/>
      <c r="M140" s="687"/>
      <c r="N140" s="687"/>
      <c r="O140" s="687"/>
      <c r="P140" s="687"/>
      <c r="Q140" s="687"/>
      <c r="R140" s="687"/>
      <c r="S140" s="687"/>
      <c r="T140" s="687"/>
      <c r="U140" s="687"/>
      <c r="V140" s="687"/>
      <c r="W140" s="687"/>
    </row>
    <row r="141" spans="1:23" x14ac:dyDescent="0.35">
      <c r="A141" s="687"/>
      <c r="B141" s="687"/>
      <c r="C141" s="687"/>
      <c r="D141" s="687"/>
      <c r="E141" s="687"/>
      <c r="F141" s="687"/>
      <c r="G141" s="44"/>
      <c r="H141" s="44"/>
      <c r="I141" s="687"/>
      <c r="K141" s="687"/>
      <c r="L141" s="687"/>
      <c r="M141" s="687"/>
      <c r="N141" s="687"/>
      <c r="O141" s="687"/>
      <c r="P141" s="687"/>
      <c r="Q141" s="687"/>
      <c r="R141" s="687"/>
      <c r="S141" s="687"/>
      <c r="T141" s="687"/>
      <c r="U141" s="687"/>
      <c r="V141" s="687"/>
      <c r="W141" s="687"/>
    </row>
    <row r="142" spans="1:23" x14ac:dyDescent="0.35">
      <c r="A142" s="44"/>
      <c r="B142" s="44"/>
      <c r="C142" s="44"/>
      <c r="D142" s="44"/>
      <c r="E142" s="44"/>
      <c r="F142" s="44"/>
      <c r="G142" s="44"/>
      <c r="H142" s="44"/>
      <c r="I142" s="687"/>
      <c r="K142" s="687"/>
      <c r="L142" s="687"/>
      <c r="M142" s="687"/>
      <c r="N142" s="687"/>
      <c r="O142" s="687"/>
      <c r="P142" s="687"/>
      <c r="Q142" s="687"/>
      <c r="R142" s="687"/>
      <c r="S142" s="687"/>
      <c r="T142" s="687"/>
      <c r="U142" s="687"/>
      <c r="V142" s="687"/>
      <c r="W142" s="687"/>
    </row>
    <row r="143" spans="1:23" x14ac:dyDescent="0.35">
      <c r="A143" s="44"/>
      <c r="B143" s="44"/>
      <c r="C143" s="44"/>
      <c r="D143" s="44"/>
      <c r="E143" s="44"/>
      <c r="F143" s="44"/>
      <c r="G143" s="687"/>
      <c r="H143" s="687"/>
      <c r="I143" s="687"/>
      <c r="K143" s="687"/>
      <c r="L143" s="687"/>
      <c r="M143" s="687"/>
      <c r="N143" s="687"/>
      <c r="O143" s="687"/>
      <c r="P143" s="687"/>
      <c r="Q143" s="687"/>
      <c r="R143" s="687"/>
      <c r="S143" s="687"/>
      <c r="T143" s="687"/>
      <c r="U143" s="687"/>
      <c r="V143" s="687"/>
      <c r="W143" s="687"/>
    </row>
    <row r="144" spans="1:23" x14ac:dyDescent="0.35">
      <c r="A144" s="44"/>
      <c r="B144" s="44"/>
      <c r="C144" s="44"/>
      <c r="D144" s="44"/>
      <c r="E144" s="44"/>
      <c r="F144" s="44"/>
      <c r="G144" s="687"/>
      <c r="H144" s="687"/>
      <c r="I144" s="687"/>
      <c r="K144" s="687"/>
      <c r="L144" s="687"/>
      <c r="M144" s="687"/>
      <c r="N144" s="687"/>
      <c r="O144" s="687"/>
      <c r="P144" s="687"/>
      <c r="Q144" s="687"/>
      <c r="R144" s="687"/>
      <c r="S144" s="687"/>
      <c r="T144" s="687"/>
      <c r="U144" s="687"/>
      <c r="V144" s="687"/>
      <c r="W144" s="687"/>
    </row>
    <row r="150" spans="1:23" x14ac:dyDescent="0.35">
      <c r="A150" s="687"/>
      <c r="B150" s="687"/>
      <c r="C150" s="687"/>
      <c r="D150" s="687"/>
      <c r="E150" s="687"/>
      <c r="F150" s="687"/>
      <c r="G150" s="87"/>
      <c r="H150" s="687"/>
      <c r="I150" s="687"/>
      <c r="K150" s="687"/>
      <c r="L150" s="687"/>
      <c r="M150" s="687"/>
      <c r="N150" s="687"/>
      <c r="O150" s="687"/>
      <c r="P150" s="687"/>
      <c r="Q150" s="687"/>
      <c r="R150" s="687"/>
      <c r="S150" s="687"/>
      <c r="T150" s="687"/>
      <c r="U150" s="687"/>
      <c r="V150" s="687"/>
      <c r="W150" s="687"/>
    </row>
    <row r="151" spans="1:23" x14ac:dyDescent="0.35">
      <c r="A151" s="687"/>
      <c r="B151" s="687"/>
      <c r="C151" s="687"/>
      <c r="D151" s="687"/>
      <c r="E151" s="687"/>
      <c r="F151" s="687"/>
      <c r="G151" s="687"/>
      <c r="H151" s="687"/>
      <c r="I151" s="687"/>
      <c r="K151" s="687"/>
      <c r="L151" s="687"/>
      <c r="M151" s="687"/>
      <c r="N151" s="687"/>
      <c r="O151" s="687"/>
      <c r="P151" s="687"/>
      <c r="Q151" s="687"/>
      <c r="R151" s="687"/>
      <c r="S151" s="687"/>
      <c r="T151" s="687"/>
      <c r="U151" s="687"/>
      <c r="V151" s="687"/>
      <c r="W151" s="687"/>
    </row>
    <row r="152" spans="1:23" x14ac:dyDescent="0.35">
      <c r="A152" s="687"/>
      <c r="B152" s="687"/>
      <c r="C152" s="687"/>
      <c r="D152" s="687"/>
      <c r="E152" s="687"/>
      <c r="F152" s="687"/>
      <c r="G152" s="687"/>
      <c r="H152" s="687"/>
      <c r="I152" s="687"/>
      <c r="K152" s="687"/>
      <c r="L152" s="687"/>
      <c r="M152" s="687"/>
      <c r="N152" s="687"/>
      <c r="O152" s="687"/>
      <c r="P152" s="687"/>
      <c r="Q152" s="687"/>
      <c r="R152" s="687"/>
      <c r="S152" s="687"/>
      <c r="T152" s="687"/>
      <c r="U152" s="687"/>
      <c r="V152" s="687"/>
      <c r="W152" s="687"/>
    </row>
    <row r="153" spans="1:23" x14ac:dyDescent="0.35">
      <c r="A153" s="687"/>
      <c r="B153" s="687"/>
      <c r="C153" s="687"/>
      <c r="D153" s="687"/>
      <c r="E153" s="687"/>
      <c r="F153" s="687"/>
      <c r="G153" s="687"/>
      <c r="H153" s="687"/>
      <c r="I153" s="687"/>
      <c r="K153" s="687"/>
      <c r="L153" s="687"/>
      <c r="M153" s="687"/>
      <c r="N153" s="687"/>
      <c r="O153" s="687"/>
      <c r="P153" s="687"/>
      <c r="Q153" s="687"/>
      <c r="R153" s="687"/>
      <c r="S153" s="687"/>
      <c r="T153" s="687"/>
      <c r="U153" s="687"/>
      <c r="V153" s="687"/>
      <c r="W153" s="687"/>
    </row>
  </sheetData>
  <mergeCells count="32">
    <mergeCell ref="B98:D98"/>
    <mergeCell ref="C78:D78"/>
    <mergeCell ref="A107:E107"/>
    <mergeCell ref="B45:D45"/>
    <mergeCell ref="C56:D56"/>
    <mergeCell ref="C57:D57"/>
    <mergeCell ref="B61:D61"/>
    <mergeCell ref="C80:D80"/>
    <mergeCell ref="B90:D90"/>
    <mergeCell ref="C53:D53"/>
    <mergeCell ref="C55:D55"/>
    <mergeCell ref="B52:D52"/>
    <mergeCell ref="A1:J1"/>
    <mergeCell ref="B16:D16"/>
    <mergeCell ref="B7:D7"/>
    <mergeCell ref="C8:D8"/>
    <mergeCell ref="C10:D10"/>
    <mergeCell ref="C11:D11"/>
    <mergeCell ref="C12:D12"/>
    <mergeCell ref="G16:I16"/>
    <mergeCell ref="G7:I7"/>
    <mergeCell ref="E3:J5"/>
    <mergeCell ref="B25:D25"/>
    <mergeCell ref="G61:I61"/>
    <mergeCell ref="B70:D70"/>
    <mergeCell ref="B77:D77"/>
    <mergeCell ref="G27:I27"/>
    <mergeCell ref="G72:I72"/>
    <mergeCell ref="G52:I52"/>
    <mergeCell ref="B32:D32"/>
    <mergeCell ref="C33:D33"/>
    <mergeCell ref="C35:D35"/>
  </mergeCells>
  <phoneticPr fontId="44" type="noConversion"/>
  <hyperlinks>
    <hyperlink ref="B111" r:id="rId1" xr:uid="{D947624D-26CE-4D45-BFD7-276BDD7FBC2C}"/>
    <hyperlink ref="B4" location="'Glossary-FAQs'!A1" display="Glossary/FAQ" xr:uid="{5AE23739-1C3D-4BA6-AF6F-A17D60D65173}"/>
    <hyperlink ref="C3" location="'Welcome'!C15" display="  = Data entry needed. See color legend on Welcome tab for more info.  " xr:uid="{F969C6EB-15C2-40B6-9247-5DF8004C9EEB}"/>
  </hyperlinks>
  <pageMargins left="0.7" right="0.7" top="0.75" bottom="0.75" header="0.3" footer="0.3"/>
  <pageSetup scale="28"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70C0"/>
  </sheetPr>
  <dimension ref="A1:AA264"/>
  <sheetViews>
    <sheetView zoomScale="85" zoomScaleNormal="85" workbookViewId="0">
      <selection activeCell="A2" sqref="A2"/>
    </sheetView>
  </sheetViews>
  <sheetFormatPr defaultColWidth="9.1796875" defaultRowHeight="12.5" x14ac:dyDescent="0.25"/>
  <cols>
    <col min="1" max="1" width="3" style="5" customWidth="1"/>
    <col min="2" max="2" width="27.81640625" style="5" customWidth="1"/>
    <col min="3" max="3" width="22.453125" style="5" customWidth="1"/>
    <col min="4" max="4" width="18.1796875" style="5" customWidth="1"/>
    <col min="5" max="5" width="20.81640625" style="5" customWidth="1"/>
    <col min="6" max="6" width="14.7265625" style="5" customWidth="1"/>
    <col min="7" max="7" width="20.453125" style="5" customWidth="1"/>
    <col min="8" max="8" width="16.26953125" style="5" customWidth="1"/>
    <col min="9" max="9" width="15.453125" style="5" customWidth="1"/>
    <col min="10" max="10" width="13.453125" style="5" customWidth="1"/>
    <col min="11" max="11" width="21.1796875" style="5" customWidth="1"/>
    <col min="12" max="12" width="15.26953125" style="5" customWidth="1"/>
    <col min="13" max="13" width="21.453125" style="5" customWidth="1"/>
    <col min="14" max="14" width="15.81640625" style="5" customWidth="1"/>
    <col min="15" max="15" width="13.453125" style="5" customWidth="1"/>
    <col min="16" max="16" width="16.7265625" style="5" customWidth="1"/>
    <col min="17" max="17" width="8" style="5" customWidth="1"/>
    <col min="18" max="18" width="11" style="5" customWidth="1"/>
    <col min="19" max="19" width="18.1796875" style="5" customWidth="1"/>
    <col min="20" max="16384" width="9.1796875" style="5"/>
  </cols>
  <sheetData>
    <row r="1" spans="1:24" ht="20.25" customHeight="1" thickBot="1" x14ac:dyDescent="0.45">
      <c r="A1" s="1907" t="s">
        <v>602</v>
      </c>
      <c r="B1" s="1907"/>
      <c r="C1" s="1907"/>
      <c r="D1" s="1907"/>
      <c r="E1" s="1907"/>
      <c r="F1" s="1907"/>
      <c r="G1" s="1907"/>
      <c r="H1" s="1907"/>
      <c r="I1" s="1907"/>
      <c r="J1" s="1907"/>
      <c r="K1" s="1907"/>
      <c r="L1" s="1907"/>
      <c r="M1" s="1908"/>
    </row>
    <row r="2" spans="1:24" ht="15" customHeight="1" x14ac:dyDescent="0.4">
      <c r="A2" s="37"/>
      <c r="F2" s="1550"/>
      <c r="H2" s="1550" t="s">
        <v>264</v>
      </c>
    </row>
    <row r="3" spans="1:24" ht="15" customHeight="1" x14ac:dyDescent="0.4">
      <c r="A3" s="37"/>
      <c r="B3" s="1558" t="s">
        <v>265</v>
      </c>
      <c r="C3" s="1617" t="s">
        <v>432</v>
      </c>
      <c r="F3" s="1659"/>
      <c r="G3" s="1659"/>
      <c r="H3" s="1909" t="s">
        <v>603</v>
      </c>
      <c r="I3" s="1909"/>
      <c r="J3" s="1909"/>
      <c r="K3" s="1909"/>
      <c r="L3" s="1909"/>
      <c r="M3" s="1909"/>
    </row>
    <row r="4" spans="1:24" ht="15" customHeight="1" x14ac:dyDescent="0.4">
      <c r="A4" s="37"/>
      <c r="B4" s="1667" t="s">
        <v>268</v>
      </c>
      <c r="C4" s="44"/>
      <c r="D4" s="513"/>
      <c r="E4" s="513"/>
      <c r="F4" s="1659"/>
      <c r="G4" s="1659"/>
      <c r="H4" s="1909"/>
      <c r="I4" s="1909"/>
      <c r="J4" s="1909"/>
      <c r="K4" s="1909"/>
      <c r="L4" s="1909"/>
      <c r="M4" s="1909"/>
    </row>
    <row r="5" spans="1:24" ht="15" customHeight="1" x14ac:dyDescent="0.4">
      <c r="A5" s="37"/>
      <c r="B5" s="44"/>
      <c r="C5" s="44"/>
      <c r="D5" s="44"/>
      <c r="E5" s="44"/>
      <c r="F5" s="1659"/>
      <c r="G5" s="1659"/>
      <c r="H5" s="1659"/>
      <c r="I5" s="1659"/>
      <c r="J5" s="1659"/>
      <c r="K5" s="1659"/>
    </row>
    <row r="6" spans="1:24" ht="15" customHeight="1" thickBot="1" x14ac:dyDescent="0.45">
      <c r="A6" s="37"/>
      <c r="F6" s="98"/>
    </row>
    <row r="7" spans="1:24" ht="16" thickBot="1" x14ac:dyDescent="0.4">
      <c r="A7" s="843" t="str">
        <f>(brew1_abb&amp;" Waste Data")</f>
        <v>MAIN Waste Data</v>
      </c>
      <c r="B7" s="844"/>
      <c r="F7" s="98"/>
      <c r="J7" s="98"/>
      <c r="K7" s="98"/>
      <c r="L7" s="98"/>
      <c r="M7" s="98"/>
      <c r="N7" s="98"/>
      <c r="O7" s="98"/>
      <c r="P7" s="98"/>
      <c r="Q7" s="98"/>
      <c r="R7" s="98"/>
    </row>
    <row r="8" spans="1:24" ht="15" thickBot="1" x14ac:dyDescent="0.4">
      <c r="A8" s="848"/>
      <c r="B8" s="1841" t="s">
        <v>602</v>
      </c>
      <c r="C8" s="1842"/>
      <c r="D8" s="1842"/>
      <c r="E8" s="1842"/>
      <c r="F8" s="1842"/>
      <c r="G8" s="1842"/>
      <c r="H8" s="1842"/>
      <c r="I8" s="1843"/>
      <c r="J8" s="689"/>
      <c r="K8" s="689"/>
      <c r="L8" s="689"/>
      <c r="M8" s="689"/>
      <c r="N8" s="689"/>
      <c r="O8" s="689"/>
      <c r="P8" s="689"/>
      <c r="Q8" s="689"/>
      <c r="R8" s="689"/>
      <c r="S8" s="687"/>
      <c r="T8" s="457"/>
      <c r="U8" s="687"/>
      <c r="V8" s="687"/>
      <c r="W8" s="687"/>
      <c r="X8" s="687"/>
    </row>
    <row r="9" spans="1:24" ht="14.5" x14ac:dyDescent="0.35">
      <c r="A9" s="417"/>
      <c r="B9" s="1324" t="s">
        <v>604</v>
      </c>
      <c r="C9" s="229" t="s">
        <v>605</v>
      </c>
      <c r="D9" s="229" t="s">
        <v>606</v>
      </c>
      <c r="E9" s="229" t="s">
        <v>607</v>
      </c>
      <c r="F9" s="229" t="s">
        <v>608</v>
      </c>
      <c r="G9" s="229" t="s">
        <v>609</v>
      </c>
      <c r="H9" s="229" t="s">
        <v>610</v>
      </c>
      <c r="I9" s="1325" t="s">
        <v>611</v>
      </c>
      <c r="J9" s="689"/>
      <c r="K9" s="1306"/>
      <c r="L9" s="642"/>
      <c r="M9" s="642"/>
      <c r="N9" s="642"/>
      <c r="O9" s="642"/>
      <c r="P9" s="642"/>
      <c r="Q9" s="108"/>
      <c r="R9" s="689"/>
      <c r="S9" s="687"/>
      <c r="T9" s="457"/>
      <c r="U9" s="687"/>
      <c r="V9" s="687"/>
      <c r="W9" s="687"/>
      <c r="X9" s="687"/>
    </row>
    <row r="10" spans="1:24" ht="14.5" x14ac:dyDescent="0.35">
      <c r="A10" s="417"/>
      <c r="B10" s="1326" t="s">
        <v>158</v>
      </c>
      <c r="C10" s="300"/>
      <c r="D10" s="300"/>
      <c r="E10" s="300"/>
      <c r="F10" s="300">
        <v>1000</v>
      </c>
      <c r="G10" s="300"/>
      <c r="H10" s="300"/>
      <c r="I10" s="1327">
        <f>SUM(C10:H10)</f>
        <v>1000</v>
      </c>
      <c r="J10" s="689"/>
      <c r="K10" s="1307"/>
      <c r="L10" s="314"/>
      <c r="M10" s="849"/>
      <c r="N10" s="849"/>
      <c r="O10" s="849"/>
      <c r="P10" s="849"/>
      <c r="Q10" s="849"/>
      <c r="R10" s="687"/>
      <c r="S10" s="687"/>
      <c r="T10" s="457"/>
      <c r="U10" s="687"/>
      <c r="V10" s="687"/>
      <c r="W10" s="687"/>
      <c r="X10" s="687"/>
    </row>
    <row r="11" spans="1:24" ht="14.5" x14ac:dyDescent="0.35">
      <c r="A11" s="417"/>
      <c r="B11" s="1326" t="s">
        <v>612</v>
      </c>
      <c r="C11" s="300"/>
      <c r="D11" s="300"/>
      <c r="E11" s="300"/>
      <c r="F11" s="300">
        <v>2000</v>
      </c>
      <c r="G11" s="300"/>
      <c r="H11" s="300"/>
      <c r="I11" s="1327">
        <f t="shared" ref="I11" si="0">SUM(C11:H11)</f>
        <v>2000</v>
      </c>
      <c r="J11" s="689"/>
      <c r="K11" s="1306"/>
      <c r="L11" s="642"/>
      <c r="M11" s="642"/>
      <c r="N11" s="642"/>
      <c r="O11" s="642"/>
      <c r="P11" s="642"/>
      <c r="Q11" s="108"/>
      <c r="R11" s="687"/>
      <c r="S11" s="687"/>
      <c r="T11" s="457"/>
      <c r="U11" s="687"/>
      <c r="V11" s="687"/>
      <c r="W11" s="687"/>
      <c r="X11" s="687"/>
    </row>
    <row r="12" spans="1:24" ht="14.5" x14ac:dyDescent="0.35">
      <c r="A12" s="417"/>
      <c r="B12" s="1326" t="s">
        <v>613</v>
      </c>
      <c r="C12" s="300"/>
      <c r="D12" s="300"/>
      <c r="E12" s="300"/>
      <c r="F12" s="300">
        <v>20000</v>
      </c>
      <c r="G12" s="300"/>
      <c r="H12" s="300"/>
      <c r="I12" s="1327">
        <f t="shared" ref="I12:I13" si="1">SUM(C12:H12)</f>
        <v>20000</v>
      </c>
      <c r="J12" s="689"/>
      <c r="K12" s="1307"/>
      <c r="L12" s="314"/>
      <c r="M12" s="849"/>
      <c r="N12" s="849"/>
      <c r="O12" s="849"/>
      <c r="P12" s="849"/>
      <c r="Q12" s="259"/>
      <c r="S12" s="687"/>
      <c r="T12" s="457"/>
      <c r="U12" s="687"/>
      <c r="V12" s="687"/>
      <c r="W12" s="687"/>
      <c r="X12" s="687"/>
    </row>
    <row r="13" spans="1:24" ht="14.5" customHeight="1" x14ac:dyDescent="0.35">
      <c r="A13" s="417"/>
      <c r="B13" s="1326" t="s">
        <v>614</v>
      </c>
      <c r="C13" s="300"/>
      <c r="D13" s="300"/>
      <c r="E13" s="300"/>
      <c r="F13" s="300">
        <v>1000</v>
      </c>
      <c r="G13" s="300"/>
      <c r="H13" s="300"/>
      <c r="I13" s="1327">
        <f t="shared" si="1"/>
        <v>1000</v>
      </c>
      <c r="J13" s="689"/>
      <c r="K13" s="16"/>
      <c r="L13" s="1314"/>
      <c r="M13" s="1314"/>
      <c r="N13" s="1314"/>
      <c r="O13" s="1314"/>
      <c r="P13" s="1314"/>
      <c r="Q13" s="16"/>
      <c r="S13" s="687"/>
      <c r="T13" s="457"/>
      <c r="U13" s="687"/>
      <c r="V13" s="648"/>
      <c r="W13" s="687"/>
      <c r="X13" s="687"/>
    </row>
    <row r="14" spans="1:24" ht="14.5" x14ac:dyDescent="0.35">
      <c r="A14" s="417"/>
      <c r="B14" s="1326" t="s">
        <v>615</v>
      </c>
      <c r="C14" s="300">
        <v>10000</v>
      </c>
      <c r="D14" s="300"/>
      <c r="E14" s="300"/>
      <c r="F14" s="300">
        <v>0</v>
      </c>
      <c r="G14" s="300"/>
      <c r="H14" s="300"/>
      <c r="I14" s="1327">
        <f t="shared" ref="I14" si="2">SUM(C14:H14)</f>
        <v>10000</v>
      </c>
      <c r="J14" s="689"/>
      <c r="K14" s="1307"/>
      <c r="L14" s="314"/>
      <c r="M14" s="642"/>
      <c r="N14" s="642"/>
      <c r="O14" s="642"/>
      <c r="P14" s="642"/>
      <c r="Q14" s="108"/>
      <c r="S14" s="687"/>
      <c r="T14" s="457"/>
      <c r="U14" s="687"/>
      <c r="V14" s="648"/>
      <c r="W14" s="687"/>
      <c r="X14" s="687"/>
    </row>
    <row r="15" spans="1:24" ht="14.5" x14ac:dyDescent="0.35">
      <c r="A15" s="417"/>
      <c r="B15" s="1326" t="s">
        <v>616</v>
      </c>
      <c r="C15" s="300"/>
      <c r="D15" s="300"/>
      <c r="E15" s="300"/>
      <c r="F15" s="300">
        <v>100</v>
      </c>
      <c r="G15" s="300"/>
      <c r="H15" s="300"/>
      <c r="I15" s="1327">
        <f t="shared" ref="I15" si="3">SUM(C15:H15)</f>
        <v>100</v>
      </c>
      <c r="J15" s="689"/>
      <c r="K15" s="1308"/>
      <c r="L15" s="642"/>
      <c r="M15" s="642"/>
      <c r="N15" s="642"/>
      <c r="O15" s="642"/>
      <c r="P15" s="642"/>
      <c r="Q15" s="108"/>
      <c r="S15" s="687"/>
      <c r="T15" s="457"/>
      <c r="U15" s="687"/>
      <c r="V15" s="50"/>
      <c r="X15" s="687"/>
    </row>
    <row r="16" spans="1:24" ht="14.5" customHeight="1" x14ac:dyDescent="0.35">
      <c r="A16" s="417"/>
      <c r="B16" s="1326" t="s">
        <v>617</v>
      </c>
      <c r="C16" s="300"/>
      <c r="D16" s="300"/>
      <c r="E16" s="300"/>
      <c r="F16" s="300">
        <v>1000</v>
      </c>
      <c r="G16" s="300"/>
      <c r="H16" s="300"/>
      <c r="I16" s="1327">
        <f t="shared" ref="I16:I19" si="4">SUM(C16:H16)</f>
        <v>1000</v>
      </c>
      <c r="J16" s="689"/>
      <c r="K16" s="1309"/>
      <c r="L16" s="699"/>
      <c r="M16" s="230"/>
      <c r="N16" s="230"/>
      <c r="O16" s="230"/>
      <c r="P16" s="230"/>
      <c r="Q16" s="259"/>
      <c r="S16" s="687"/>
      <c r="T16" s="687"/>
    </row>
    <row r="17" spans="1:20" ht="14.5" x14ac:dyDescent="0.35">
      <c r="A17" s="417"/>
      <c r="B17" s="1326" t="s">
        <v>618</v>
      </c>
      <c r="C17" s="300"/>
      <c r="D17" s="300"/>
      <c r="E17" s="300"/>
      <c r="F17" s="300">
        <v>100</v>
      </c>
      <c r="G17" s="300"/>
      <c r="H17" s="300"/>
      <c r="I17" s="1327">
        <f t="shared" si="4"/>
        <v>100</v>
      </c>
      <c r="J17" s="689"/>
      <c r="K17" s="1310"/>
      <c r="L17" s="230"/>
      <c r="M17" s="230"/>
      <c r="N17" s="230"/>
      <c r="O17" s="230"/>
      <c r="P17" s="230"/>
      <c r="Q17" s="259"/>
      <c r="S17" s="687"/>
      <c r="T17" s="687"/>
    </row>
    <row r="18" spans="1:20" ht="14.5" x14ac:dyDescent="0.35">
      <c r="A18" s="417"/>
      <c r="B18" s="1326" t="s">
        <v>619</v>
      </c>
      <c r="C18" s="300"/>
      <c r="D18" s="300"/>
      <c r="E18" s="300"/>
      <c r="F18" s="300">
        <v>0</v>
      </c>
      <c r="G18" s="300">
        <v>5000</v>
      </c>
      <c r="H18" s="300"/>
      <c r="I18" s="1327">
        <f t="shared" si="4"/>
        <v>5000</v>
      </c>
      <c r="J18" s="689"/>
      <c r="K18" s="1311"/>
      <c r="L18" s="424"/>
      <c r="M18" s="230"/>
      <c r="N18" s="230"/>
      <c r="O18" s="230"/>
      <c r="P18" s="230"/>
      <c r="Q18" s="259"/>
      <c r="S18" s="687"/>
    </row>
    <row r="19" spans="1:20" ht="14.5" x14ac:dyDescent="0.35">
      <c r="A19" s="417"/>
      <c r="B19" s="1326" t="s">
        <v>620</v>
      </c>
      <c r="C19" s="300"/>
      <c r="D19" s="300"/>
      <c r="E19" s="300"/>
      <c r="F19" s="300">
        <v>0</v>
      </c>
      <c r="G19" s="300"/>
      <c r="H19" s="300">
        <v>20000</v>
      </c>
      <c r="I19" s="1327">
        <f t="shared" si="4"/>
        <v>20000</v>
      </c>
      <c r="J19" s="689"/>
      <c r="K19" s="1312"/>
      <c r="L19" s="700"/>
      <c r="M19" s="700"/>
      <c r="N19" s="700"/>
      <c r="O19" s="700"/>
      <c r="P19" s="700"/>
      <c r="Q19" s="259"/>
      <c r="S19" s="687"/>
    </row>
    <row r="20" spans="1:20" ht="14.5" x14ac:dyDescent="0.35">
      <c r="A20" s="417"/>
      <c r="B20" s="1326" t="s">
        <v>621</v>
      </c>
      <c r="C20" s="300"/>
      <c r="D20" s="300">
        <v>100000</v>
      </c>
      <c r="E20" s="300"/>
      <c r="F20" s="300"/>
      <c r="G20" s="300"/>
      <c r="H20" s="300"/>
      <c r="I20" s="1327">
        <f t="shared" ref="I20:I21" si="5">SUM(C20:H20)</f>
        <v>100000</v>
      </c>
      <c r="J20" s="689"/>
      <c r="K20" s="1310"/>
      <c r="L20" s="700"/>
      <c r="M20" s="700"/>
      <c r="N20" s="700"/>
      <c r="O20" s="700"/>
      <c r="P20" s="700"/>
      <c r="Q20" s="98"/>
      <c r="S20" s="687"/>
    </row>
    <row r="21" spans="1:20" ht="14.5" x14ac:dyDescent="0.35">
      <c r="A21" s="417"/>
      <c r="B21" s="1326" t="s">
        <v>622</v>
      </c>
      <c r="C21" s="300">
        <v>10000</v>
      </c>
      <c r="D21" s="300"/>
      <c r="E21" s="300"/>
      <c r="F21" s="300"/>
      <c r="G21" s="300"/>
      <c r="H21" s="300"/>
      <c r="I21" s="1327">
        <f t="shared" si="5"/>
        <v>10000</v>
      </c>
      <c r="J21" s="689"/>
      <c r="K21" s="1313"/>
      <c r="L21" s="699"/>
      <c r="M21" s="230"/>
      <c r="N21" s="230"/>
      <c r="O21" s="230"/>
      <c r="P21" s="230"/>
      <c r="Q21" s="98"/>
      <c r="S21" s="687"/>
    </row>
    <row r="22" spans="1:20" ht="15" thickBot="1" x14ac:dyDescent="0.4">
      <c r="A22" s="417"/>
      <c r="B22" s="1328" t="s">
        <v>623</v>
      </c>
      <c r="C22" s="1329">
        <f t="shared" ref="C22:I22" si="6">SUM(C10:C21)</f>
        <v>20000</v>
      </c>
      <c r="D22" s="1329">
        <f t="shared" si="6"/>
        <v>100000</v>
      </c>
      <c r="E22" s="1329">
        <f t="shared" si="6"/>
        <v>0</v>
      </c>
      <c r="F22" s="1329">
        <f t="shared" si="6"/>
        <v>25200</v>
      </c>
      <c r="G22" s="1329">
        <f t="shared" si="6"/>
        <v>5000</v>
      </c>
      <c r="H22" s="1329">
        <f t="shared" si="6"/>
        <v>20000</v>
      </c>
      <c r="I22" s="1330">
        <f t="shared" si="6"/>
        <v>170200</v>
      </c>
      <c r="J22" s="689"/>
      <c r="K22" s="1310"/>
      <c r="L22" s="700"/>
      <c r="M22" s="700"/>
      <c r="N22" s="700"/>
      <c r="O22" s="700"/>
      <c r="P22" s="700"/>
      <c r="Q22" s="689"/>
      <c r="R22" s="687"/>
      <c r="S22" s="687"/>
    </row>
    <row r="23" spans="1:20" ht="14.5" x14ac:dyDescent="0.35">
      <c r="A23" s="417"/>
      <c r="B23" s="180"/>
      <c r="C23" s="181"/>
      <c r="D23" s="181"/>
      <c r="E23" s="181"/>
      <c r="F23" s="181"/>
      <c r="G23" s="181"/>
      <c r="H23" s="181"/>
      <c r="I23" s="689"/>
      <c r="J23" s="689"/>
      <c r="K23" s="689"/>
      <c r="L23" s="689"/>
      <c r="M23" s="689"/>
      <c r="N23" s="689"/>
      <c r="O23" s="689"/>
      <c r="P23" s="689"/>
      <c r="Q23" s="689"/>
      <c r="R23" s="687"/>
      <c r="S23" s="687"/>
    </row>
    <row r="24" spans="1:20" ht="15" customHeight="1" thickBot="1" x14ac:dyDescent="0.45">
      <c r="A24" s="48"/>
      <c r="B24" s="98"/>
      <c r="C24" s="98"/>
      <c r="D24" s="98"/>
      <c r="E24" s="98"/>
      <c r="F24" s="98"/>
      <c r="G24" s="98"/>
      <c r="H24" s="98"/>
      <c r="I24" s="98"/>
      <c r="J24" s="98"/>
      <c r="K24" s="98"/>
      <c r="L24" s="98"/>
      <c r="M24" s="98"/>
      <c r="N24" s="98"/>
      <c r="O24" s="98"/>
      <c r="P24" s="98"/>
      <c r="Q24" s="98"/>
    </row>
    <row r="25" spans="1:20" ht="15.75" customHeight="1" thickBot="1" x14ac:dyDescent="0.35">
      <c r="A25" s="23"/>
      <c r="B25" s="402" t="str">
        <f>(brew1_abb&amp;" Recycling - GHG Emissions from recycled material")</f>
        <v>MAIN Recycling - GHG Emissions from recycled material</v>
      </c>
      <c r="C25" s="403"/>
      <c r="D25" s="403"/>
      <c r="E25" s="403"/>
      <c r="F25" s="403"/>
      <c r="G25" s="404"/>
      <c r="H25" s="405"/>
      <c r="I25" s="406"/>
      <c r="J25" s="35"/>
      <c r="K25" s="39"/>
      <c r="L25" s="40"/>
      <c r="M25" s="34"/>
      <c r="N25" s="35"/>
      <c r="O25" s="35"/>
      <c r="P25" s="36"/>
      <c r="Q25" s="98"/>
    </row>
    <row r="26" spans="1:20" ht="15.75" customHeight="1" x14ac:dyDescent="0.35">
      <c r="A26" s="23"/>
      <c r="B26" s="411" t="s">
        <v>624</v>
      </c>
      <c r="C26" s="299"/>
      <c r="D26" s="299"/>
      <c r="E26" s="299"/>
      <c r="F26" s="299"/>
      <c r="G26" s="410"/>
      <c r="H26" s="16"/>
      <c r="I26" s="16"/>
      <c r="J26" s="98"/>
      <c r="K26" s="371"/>
      <c r="L26" s="19"/>
      <c r="M26" s="17"/>
      <c r="N26" s="98"/>
      <c r="O26" s="98"/>
      <c r="P26" s="24"/>
      <c r="Q26" s="98"/>
    </row>
    <row r="27" spans="1:20" ht="14.5" x14ac:dyDescent="0.25">
      <c r="A27" s="23"/>
      <c r="B27" s="23"/>
      <c r="C27" s="98"/>
      <c r="D27" s="98"/>
      <c r="E27" s="17"/>
      <c r="F27" s="17"/>
      <c r="G27" s="1319" t="s">
        <v>625</v>
      </c>
      <c r="H27" s="98"/>
      <c r="I27" s="98"/>
      <c r="J27" s="98"/>
      <c r="K27" s="98"/>
      <c r="L27" s="98"/>
      <c r="M27" s="17"/>
      <c r="N27" s="98"/>
      <c r="O27" s="98"/>
      <c r="P27" s="24"/>
      <c r="Q27" s="98"/>
    </row>
    <row r="28" spans="1:20" ht="13" x14ac:dyDescent="0.25">
      <c r="A28" s="23"/>
      <c r="B28" s="121"/>
      <c r="C28" s="236" t="s">
        <v>626</v>
      </c>
      <c r="D28" s="113"/>
      <c r="E28" s="116"/>
      <c r="F28" s="82"/>
      <c r="G28" s="207" t="s">
        <v>627</v>
      </c>
      <c r="H28" s="82"/>
      <c r="I28" s="82"/>
      <c r="J28" s="82"/>
      <c r="K28" s="82"/>
      <c r="L28" s="98"/>
      <c r="M28" s="236" t="s">
        <v>628</v>
      </c>
      <c r="N28" s="82"/>
      <c r="O28" s="82"/>
      <c r="P28" s="24"/>
      <c r="Q28" s="98"/>
    </row>
    <row r="29" spans="1:20" ht="14.5" x14ac:dyDescent="0.35">
      <c r="A29" s="23"/>
      <c r="B29" s="111"/>
      <c r="C29" s="1315">
        <f>F12</f>
        <v>20000</v>
      </c>
      <c r="D29" s="693" t="s">
        <v>629</v>
      </c>
      <c r="E29" s="117"/>
      <c r="F29" s="74"/>
      <c r="G29" s="694" t="s">
        <v>613</v>
      </c>
      <c r="H29" s="1574">
        <v>0.93</v>
      </c>
      <c r="I29" s="321" t="s">
        <v>630</v>
      </c>
      <c r="J29" s="74"/>
      <c r="K29" s="82"/>
      <c r="L29" s="98"/>
      <c r="M29" s="319">
        <f>C29*(1-H29)</f>
        <v>1399.9999999999991</v>
      </c>
      <c r="N29" s="318" t="s">
        <v>629</v>
      </c>
      <c r="O29" s="82"/>
      <c r="P29" s="24"/>
      <c r="Q29" s="98"/>
    </row>
    <row r="30" spans="1:20" ht="14.5" x14ac:dyDescent="0.25">
      <c r="A30" s="23"/>
      <c r="B30" s="111"/>
      <c r="C30" s="1315">
        <f>F11</f>
        <v>2000</v>
      </c>
      <c r="D30" s="693" t="s">
        <v>631</v>
      </c>
      <c r="E30" s="117"/>
      <c r="F30" s="74"/>
      <c r="G30" s="694" t="s">
        <v>632</v>
      </c>
      <c r="H30" s="1574">
        <v>0.88</v>
      </c>
      <c r="I30" s="317" t="s">
        <v>633</v>
      </c>
      <c r="J30" s="74"/>
      <c r="K30" s="316"/>
      <c r="L30" s="98"/>
      <c r="M30" s="319">
        <f t="shared" ref="M30:M36" si="7">C30*(1-H30)</f>
        <v>240</v>
      </c>
      <c r="N30" s="318" t="s">
        <v>631</v>
      </c>
      <c r="O30" s="82"/>
      <c r="P30" s="24"/>
      <c r="Q30" s="98"/>
    </row>
    <row r="31" spans="1:20" ht="14.5" x14ac:dyDescent="0.25">
      <c r="A31" s="23"/>
      <c r="B31" s="111"/>
      <c r="C31" s="319">
        <f>I21</f>
        <v>10000</v>
      </c>
      <c r="D31" s="693" t="s">
        <v>634</v>
      </c>
      <c r="E31" s="117"/>
      <c r="F31" s="74"/>
      <c r="G31" s="694" t="s">
        <v>622</v>
      </c>
      <c r="H31" s="1574">
        <v>0.8</v>
      </c>
      <c r="I31" s="1320" t="s">
        <v>635</v>
      </c>
      <c r="J31" s="74"/>
      <c r="K31" s="74"/>
      <c r="L31" s="98"/>
      <c r="M31" s="319">
        <f t="shared" si="7"/>
        <v>1999.9999999999995</v>
      </c>
      <c r="N31" s="318" t="s">
        <v>634</v>
      </c>
      <c r="O31" s="82"/>
      <c r="P31" s="24"/>
      <c r="Q31" s="98"/>
    </row>
    <row r="32" spans="1:20" ht="14.5" x14ac:dyDescent="0.25">
      <c r="A32" s="23"/>
      <c r="B32" s="315" t="s">
        <v>636</v>
      </c>
      <c r="C32" s="1315">
        <v>0</v>
      </c>
      <c r="D32" s="693" t="s">
        <v>637</v>
      </c>
      <c r="E32" s="117"/>
      <c r="F32" s="74"/>
      <c r="G32" s="694" t="s">
        <v>621</v>
      </c>
      <c r="H32" s="1574">
        <v>0.8</v>
      </c>
      <c r="I32" s="317" t="s">
        <v>638</v>
      </c>
      <c r="J32" s="73"/>
      <c r="K32" s="82"/>
      <c r="L32" s="98"/>
      <c r="M32" s="319">
        <f t="shared" si="7"/>
        <v>0</v>
      </c>
      <c r="N32" s="318" t="s">
        <v>637</v>
      </c>
      <c r="O32" s="82"/>
      <c r="P32" s="24"/>
      <c r="Q32" s="98"/>
    </row>
    <row r="33" spans="1:18" ht="14.5" x14ac:dyDescent="0.25">
      <c r="A33" s="23"/>
      <c r="B33" s="111"/>
      <c r="C33" s="1315">
        <f>F13+F17</f>
        <v>1100</v>
      </c>
      <c r="D33" s="693" t="s">
        <v>639</v>
      </c>
      <c r="E33" s="117"/>
      <c r="F33" s="74"/>
      <c r="G33" s="320" t="s">
        <v>614</v>
      </c>
      <c r="H33" s="1574">
        <v>0.78</v>
      </c>
      <c r="I33" s="317" t="s">
        <v>640</v>
      </c>
      <c r="J33" s="73"/>
      <c r="K33" s="74"/>
      <c r="L33" s="98"/>
      <c r="M33" s="319">
        <f t="shared" si="7"/>
        <v>241.99999999999997</v>
      </c>
      <c r="N33" s="693" t="s">
        <v>639</v>
      </c>
      <c r="O33" s="82"/>
      <c r="P33" s="24"/>
      <c r="Q33" s="98"/>
    </row>
    <row r="34" spans="1:18" ht="14.5" x14ac:dyDescent="0.25">
      <c r="A34" s="23"/>
      <c r="B34" s="111"/>
      <c r="C34" s="1316">
        <f>F10</f>
        <v>1000</v>
      </c>
      <c r="D34" s="693" t="s">
        <v>641</v>
      </c>
      <c r="E34" s="117"/>
      <c r="F34" s="74"/>
      <c r="G34" s="694" t="s">
        <v>158</v>
      </c>
      <c r="H34" s="1574">
        <v>0.93</v>
      </c>
      <c r="I34" s="1320" t="s">
        <v>642</v>
      </c>
      <c r="J34" s="73"/>
      <c r="K34" s="74"/>
      <c r="L34" s="98"/>
      <c r="M34" s="319">
        <f t="shared" si="7"/>
        <v>69.999999999999957</v>
      </c>
      <c r="N34" s="318" t="s">
        <v>641</v>
      </c>
      <c r="O34" s="82"/>
      <c r="P34" s="24"/>
      <c r="Q34" s="98"/>
    </row>
    <row r="35" spans="1:18" ht="14.5" x14ac:dyDescent="0.25">
      <c r="A35" s="23"/>
      <c r="B35" s="111"/>
      <c r="C35" s="1316">
        <f>F16</f>
        <v>1000</v>
      </c>
      <c r="D35" s="693" t="s">
        <v>643</v>
      </c>
      <c r="E35" s="117"/>
      <c r="F35" s="74"/>
      <c r="G35" s="694" t="s">
        <v>644</v>
      </c>
      <c r="H35" s="1574">
        <v>0.98</v>
      </c>
      <c r="I35" s="317" t="s">
        <v>645</v>
      </c>
      <c r="J35" s="73"/>
      <c r="K35" s="82"/>
      <c r="L35" s="98"/>
      <c r="M35" s="319">
        <f t="shared" si="7"/>
        <v>20.000000000000018</v>
      </c>
      <c r="N35" s="318" t="s">
        <v>643</v>
      </c>
      <c r="O35" s="82"/>
      <c r="P35" s="24"/>
      <c r="Q35" s="98"/>
    </row>
    <row r="36" spans="1:18" ht="14.5" x14ac:dyDescent="0.25">
      <c r="A36" s="23"/>
      <c r="B36" s="111"/>
      <c r="C36" s="1317">
        <f>F15</f>
        <v>100</v>
      </c>
      <c r="D36" s="130" t="s">
        <v>646</v>
      </c>
      <c r="E36" s="131"/>
      <c r="F36" s="74"/>
      <c r="G36" s="694" t="s">
        <v>616</v>
      </c>
      <c r="H36" s="1575">
        <v>1</v>
      </c>
      <c r="I36" s="1320" t="s">
        <v>647</v>
      </c>
      <c r="J36" s="73"/>
      <c r="K36" s="82"/>
      <c r="L36" s="98"/>
      <c r="M36" s="319">
        <f t="shared" si="7"/>
        <v>0</v>
      </c>
      <c r="N36" s="318" t="s">
        <v>646</v>
      </c>
      <c r="O36" s="82"/>
      <c r="P36" s="24"/>
      <c r="Q36" s="98"/>
      <c r="R36" s="98"/>
    </row>
    <row r="37" spans="1:18" ht="14" x14ac:dyDescent="0.25">
      <c r="A37" s="23"/>
      <c r="B37" s="111"/>
      <c r="C37" s="1318">
        <f>SUM(C29:C36)</f>
        <v>35200</v>
      </c>
      <c r="D37" s="133" t="s">
        <v>648</v>
      </c>
      <c r="E37" s="74"/>
      <c r="F37" s="74"/>
      <c r="G37" s="74"/>
      <c r="H37" s="82"/>
      <c r="I37" s="82"/>
      <c r="J37" s="82"/>
      <c r="K37" s="98"/>
      <c r="L37" s="98"/>
      <c r="M37" s="374">
        <f>SUM(M29:M36)</f>
        <v>3971.9999999999986</v>
      </c>
      <c r="N37" s="375" t="s">
        <v>649</v>
      </c>
      <c r="O37" s="376"/>
      <c r="P37" s="112"/>
      <c r="Q37" s="98"/>
      <c r="R37" s="98"/>
    </row>
    <row r="38" spans="1:18" ht="14" x14ac:dyDescent="0.25">
      <c r="A38" s="23"/>
      <c r="B38" s="111"/>
      <c r="C38" s="132"/>
      <c r="D38" s="133"/>
      <c r="E38" s="74"/>
      <c r="F38" s="74"/>
      <c r="G38" s="74"/>
      <c r="H38" s="82"/>
      <c r="I38" s="82"/>
      <c r="J38" s="82"/>
      <c r="K38" s="98"/>
      <c r="L38" s="98"/>
      <c r="M38" s="132"/>
      <c r="N38" s="133"/>
      <c r="O38" s="74"/>
      <c r="P38" s="112"/>
      <c r="Q38" s="98"/>
      <c r="R38" s="98"/>
    </row>
    <row r="39" spans="1:18" x14ac:dyDescent="0.25">
      <c r="A39" s="23"/>
      <c r="B39" s="111"/>
      <c r="C39" s="82"/>
      <c r="D39" s="82"/>
      <c r="E39" s="74"/>
      <c r="F39" s="74"/>
      <c r="G39" s="74"/>
      <c r="H39" s="82"/>
      <c r="I39" s="82"/>
      <c r="J39" s="82"/>
      <c r="K39" s="82"/>
      <c r="L39" s="82"/>
      <c r="M39" s="82"/>
      <c r="N39" s="82"/>
      <c r="O39" s="82"/>
      <c r="P39" s="112"/>
      <c r="Q39" s="98"/>
      <c r="R39" s="98"/>
    </row>
    <row r="40" spans="1:18" ht="13" x14ac:dyDescent="0.25">
      <c r="A40" s="23"/>
      <c r="B40" s="111"/>
      <c r="C40" s="82"/>
      <c r="D40" s="82"/>
      <c r="E40" s="74"/>
      <c r="F40" s="74"/>
      <c r="G40" s="322" t="s">
        <v>650</v>
      </c>
      <c r="H40" s="82"/>
      <c r="I40" s="82"/>
      <c r="J40" s="82"/>
      <c r="K40" s="82"/>
      <c r="L40" s="82"/>
      <c r="M40" s="1559" t="s">
        <v>651</v>
      </c>
      <c r="N40" s="1560"/>
      <c r="O40" s="1561"/>
      <c r="P40" s="112"/>
      <c r="Q40" s="98"/>
      <c r="R40" s="98"/>
    </row>
    <row r="41" spans="1:18" ht="13" x14ac:dyDescent="0.25">
      <c r="A41" s="23"/>
      <c r="B41" s="111"/>
      <c r="C41" s="236" t="s">
        <v>652</v>
      </c>
      <c r="D41" s="82"/>
      <c r="E41" s="74"/>
      <c r="F41" s="74"/>
      <c r="G41" s="236" t="s">
        <v>653</v>
      </c>
      <c r="H41" s="98"/>
      <c r="I41" s="82"/>
      <c r="J41" s="82"/>
      <c r="K41" s="82"/>
      <c r="L41" s="82"/>
      <c r="M41" s="1562" t="s">
        <v>654</v>
      </c>
      <c r="N41" s="1563"/>
      <c r="O41" s="1564"/>
      <c r="P41" s="372"/>
      <c r="Q41" s="98"/>
      <c r="R41" s="98"/>
    </row>
    <row r="42" spans="1:18" ht="14.5" x14ac:dyDescent="0.35">
      <c r="A42" s="23"/>
      <c r="B42" s="111"/>
      <c r="C42" s="319">
        <f t="shared" ref="C42:C49" si="8">C29-M29</f>
        <v>18600</v>
      </c>
      <c r="D42" s="318" t="s">
        <v>629</v>
      </c>
      <c r="E42" s="317"/>
      <c r="F42" s="321"/>
      <c r="G42" s="320" t="s">
        <v>613</v>
      </c>
      <c r="H42" s="1568">
        <v>0.06</v>
      </c>
      <c r="I42" s="1320" t="s">
        <v>655</v>
      </c>
      <c r="J42" s="231"/>
      <c r="K42" s="98"/>
      <c r="L42" s="321"/>
      <c r="M42" s="1565" t="s">
        <v>613</v>
      </c>
      <c r="N42" s="1566">
        <f>C42*'Brewery-Control Data'!$L$38*'Brewery-Control Data'!$L$39*H42*'Brewery-Control Data'!$L$41</f>
        <v>506.20923000000005</v>
      </c>
      <c r="O42" s="1567" t="s">
        <v>177</v>
      </c>
      <c r="P42" s="373"/>
      <c r="Q42" s="98"/>
      <c r="R42" s="98"/>
    </row>
    <row r="43" spans="1:18" ht="14.5" x14ac:dyDescent="0.35">
      <c r="A43" s="23"/>
      <c r="B43" s="122"/>
      <c r="C43" s="319">
        <f t="shared" si="8"/>
        <v>1760</v>
      </c>
      <c r="D43" s="318" t="s">
        <v>631</v>
      </c>
      <c r="E43" s="317"/>
      <c r="F43" s="321"/>
      <c r="G43" s="320" t="s">
        <v>632</v>
      </c>
      <c r="H43" s="1568">
        <v>0.02</v>
      </c>
      <c r="I43" s="1320" t="s">
        <v>656</v>
      </c>
      <c r="J43" s="231"/>
      <c r="K43" s="98"/>
      <c r="L43" s="321"/>
      <c r="M43" s="1565" t="s">
        <v>632</v>
      </c>
      <c r="N43" s="1566">
        <f>C43*'Brewery-Control Data'!$L$38*'Brewery-Control Data'!$L$39*H43*'Brewery-Control Data'!$L$41</f>
        <v>15.966456000000001</v>
      </c>
      <c r="O43" s="1567" t="s">
        <v>177</v>
      </c>
      <c r="P43" s="373"/>
      <c r="Q43" s="98"/>
      <c r="R43" s="98"/>
    </row>
    <row r="44" spans="1:18" ht="14.5" x14ac:dyDescent="0.35">
      <c r="A44" s="23"/>
      <c r="B44" s="122"/>
      <c r="C44" s="319">
        <f t="shared" si="8"/>
        <v>8000</v>
      </c>
      <c r="D44" s="318" t="s">
        <v>634</v>
      </c>
      <c r="E44" s="317"/>
      <c r="F44" s="321"/>
      <c r="G44" s="320" t="s">
        <v>622</v>
      </c>
      <c r="H44" s="1568">
        <v>0.02</v>
      </c>
      <c r="I44" s="1320" t="s">
        <v>657</v>
      </c>
      <c r="J44" s="231"/>
      <c r="K44" s="98"/>
      <c r="L44" s="321"/>
      <c r="M44" s="1565" t="s">
        <v>622</v>
      </c>
      <c r="N44" s="1566">
        <f>C44*'Brewery-Control Data'!$L$38*'Brewery-Control Data'!$L$39*H44*'Brewery-Control Data'!$L$41</f>
        <v>72.57480000000001</v>
      </c>
      <c r="O44" s="1567" t="s">
        <v>177</v>
      </c>
      <c r="P44" s="373"/>
      <c r="Q44" s="98"/>
      <c r="R44" s="98"/>
    </row>
    <row r="45" spans="1:18" ht="14.5" x14ac:dyDescent="0.35">
      <c r="A45" s="23"/>
      <c r="B45" s="122"/>
      <c r="C45" s="319">
        <f t="shared" si="8"/>
        <v>0</v>
      </c>
      <c r="D45" s="318" t="s">
        <v>637</v>
      </c>
      <c r="E45" s="231"/>
      <c r="F45" s="321"/>
      <c r="G45" s="320" t="s">
        <v>621</v>
      </c>
      <c r="H45" s="1568">
        <v>0.03</v>
      </c>
      <c r="I45" s="1320" t="s">
        <v>658</v>
      </c>
      <c r="J45" s="231"/>
      <c r="K45" s="98"/>
      <c r="L45" s="321"/>
      <c r="M45" s="1565" t="s">
        <v>621</v>
      </c>
      <c r="N45" s="1566">
        <f>C45*'Brewery-Control Data'!$L$38*'Brewery-Control Data'!$L$39*H45*'Brewery-Control Data'!$L$41</f>
        <v>0</v>
      </c>
      <c r="O45" s="1567" t="s">
        <v>177</v>
      </c>
      <c r="P45" s="373"/>
      <c r="Q45" s="98"/>
      <c r="R45" s="98"/>
    </row>
    <row r="46" spans="1:18" ht="14.5" x14ac:dyDescent="0.35">
      <c r="A46" s="23"/>
      <c r="B46" s="122"/>
      <c r="C46" s="319">
        <f t="shared" si="8"/>
        <v>858</v>
      </c>
      <c r="D46" s="693" t="s">
        <v>639</v>
      </c>
      <c r="E46" s="231"/>
      <c r="F46" s="321"/>
      <c r="G46" s="320" t="s">
        <v>614</v>
      </c>
      <c r="H46" s="1568">
        <v>0.01</v>
      </c>
      <c r="I46" s="1320" t="s">
        <v>659</v>
      </c>
      <c r="J46" s="231"/>
      <c r="K46" s="98"/>
      <c r="L46" s="321"/>
      <c r="M46" s="1565" t="s">
        <v>660</v>
      </c>
      <c r="N46" s="1566">
        <f>C46*'Brewery-Control Data'!$L$38*'Brewery-Control Data'!$L$39*H46*'Brewery-Control Data'!$L$41</f>
        <v>3.8918236500000001</v>
      </c>
      <c r="O46" s="1567" t="s">
        <v>177</v>
      </c>
      <c r="P46" s="373"/>
      <c r="Q46" s="98"/>
      <c r="R46" s="98"/>
    </row>
    <row r="47" spans="1:18" ht="14.5" x14ac:dyDescent="0.35">
      <c r="A47" s="23"/>
      <c r="B47" s="122"/>
      <c r="C47" s="319">
        <f t="shared" si="8"/>
        <v>930</v>
      </c>
      <c r="D47" s="318" t="s">
        <v>641</v>
      </c>
      <c r="E47" s="231"/>
      <c r="F47" s="321"/>
      <c r="G47" s="320" t="s">
        <v>158</v>
      </c>
      <c r="H47" s="1568">
        <v>7.0000000000000007E-2</v>
      </c>
      <c r="I47" s="1320" t="s">
        <v>661</v>
      </c>
      <c r="J47" s="231"/>
      <c r="K47" s="98"/>
      <c r="L47" s="321"/>
      <c r="M47" s="1565" t="s">
        <v>158</v>
      </c>
      <c r="N47" s="1566">
        <f>C47*'Brewery-Control Data'!$L$38*'Brewery-Control Data'!$L$39*H47*'Brewery-Control Data'!$L$41</f>
        <v>29.528871750000004</v>
      </c>
      <c r="O47" s="1567" t="s">
        <v>177</v>
      </c>
      <c r="P47" s="373"/>
      <c r="Q47" s="98"/>
      <c r="R47" s="98"/>
    </row>
    <row r="48" spans="1:18" ht="14.5" x14ac:dyDescent="0.35">
      <c r="A48" s="23"/>
      <c r="B48" s="122"/>
      <c r="C48" s="319">
        <f t="shared" si="8"/>
        <v>980</v>
      </c>
      <c r="D48" s="318" t="s">
        <v>643</v>
      </c>
      <c r="E48" s="231"/>
      <c r="F48" s="321"/>
      <c r="G48" s="320" t="s">
        <v>644</v>
      </c>
      <c r="H48" s="1568">
        <v>0.3</v>
      </c>
      <c r="I48" s="1320" t="s">
        <v>661</v>
      </c>
      <c r="J48" s="231"/>
      <c r="K48" s="98"/>
      <c r="L48" s="321"/>
      <c r="M48" s="1565" t="s">
        <v>644</v>
      </c>
      <c r="N48" s="1566">
        <f>C48*'Brewery-Control Data'!$L$38*'Brewery-Control Data'!$L$39*H48*'Brewery-Control Data'!$L$41</f>
        <v>133.35619500000001</v>
      </c>
      <c r="O48" s="1567" t="s">
        <v>177</v>
      </c>
      <c r="P48" s="373"/>
      <c r="Q48" s="98"/>
      <c r="R48" s="98"/>
    </row>
    <row r="49" spans="1:23" ht="15" thickBot="1" x14ac:dyDescent="0.4">
      <c r="A49" s="23"/>
      <c r="B49" s="122"/>
      <c r="C49" s="319">
        <f t="shared" si="8"/>
        <v>100</v>
      </c>
      <c r="D49" s="318" t="s">
        <v>646</v>
      </c>
      <c r="E49" s="231"/>
      <c r="F49" s="321"/>
      <c r="G49" s="320" t="s">
        <v>616</v>
      </c>
      <c r="H49" s="1568">
        <v>7.0000000000000007E-2</v>
      </c>
      <c r="I49" s="1320" t="s">
        <v>662</v>
      </c>
      <c r="J49" s="231"/>
      <c r="K49" s="98"/>
      <c r="L49" s="321"/>
      <c r="M49" s="1565" t="s">
        <v>616</v>
      </c>
      <c r="N49" s="1566">
        <f>C49*'Brewery-Control Data'!$L$38*'Brewery-Control Data'!$L$39*H49*'Brewery-Control Data'!$L$41</f>
        <v>3.1751475000000009</v>
      </c>
      <c r="O49" s="1567" t="s">
        <v>177</v>
      </c>
      <c r="P49" s="373"/>
      <c r="Q49" s="98"/>
    </row>
    <row r="50" spans="1:23" ht="15" thickBot="1" x14ac:dyDescent="0.3">
      <c r="A50" s="23"/>
      <c r="B50" s="122"/>
      <c r="C50" s="98"/>
      <c r="D50" s="98"/>
      <c r="E50" s="98"/>
      <c r="F50" s="98"/>
      <c r="G50" s="82"/>
      <c r="H50" s="82"/>
      <c r="I50" s="82"/>
      <c r="J50" s="82"/>
      <c r="K50" s="396"/>
      <c r="L50" s="1865" t="s">
        <v>663</v>
      </c>
      <c r="M50" s="1866"/>
      <c r="N50" s="1321">
        <f>SUM(N42:N49)</f>
        <v>764.70252390000007</v>
      </c>
      <c r="O50" s="613" t="s">
        <v>177</v>
      </c>
      <c r="P50" s="112"/>
      <c r="Q50" s="98"/>
    </row>
    <row r="51" spans="1:23" ht="15" thickBot="1" x14ac:dyDescent="0.4">
      <c r="A51" s="23"/>
      <c r="B51" s="111"/>
      <c r="C51" s="98"/>
      <c r="D51" s="98"/>
      <c r="E51" s="98"/>
      <c r="F51" s="98"/>
      <c r="G51" s="82"/>
      <c r="H51" s="98"/>
      <c r="I51" s="98"/>
      <c r="J51" s="98"/>
      <c r="K51" s="98"/>
      <c r="L51" s="1867" t="s">
        <v>276</v>
      </c>
      <c r="M51" s="1868"/>
      <c r="N51" s="1322">
        <f>'Brewery-Control Data'!$B$10</f>
        <v>123215.153565</v>
      </c>
      <c r="O51" s="611" t="s">
        <v>125</v>
      </c>
      <c r="P51" s="112"/>
      <c r="Q51" s="98"/>
    </row>
    <row r="52" spans="1:23" ht="15" thickBot="1" x14ac:dyDescent="0.4">
      <c r="A52" s="23"/>
      <c r="B52" s="111"/>
      <c r="C52" s="98"/>
      <c r="D52" s="98"/>
      <c r="E52" s="98"/>
      <c r="F52" s="98"/>
      <c r="G52" s="82"/>
      <c r="H52" s="98"/>
      <c r="I52" s="98"/>
      <c r="J52" s="98"/>
      <c r="K52" s="98"/>
      <c r="L52" s="1869" t="s">
        <v>664</v>
      </c>
      <c r="M52" s="1870"/>
      <c r="N52" s="1323">
        <f>N50/N51</f>
        <v>6.206237640215208E-3</v>
      </c>
      <c r="O52" s="421" t="s">
        <v>665</v>
      </c>
      <c r="P52" s="112"/>
      <c r="Q52" s="98"/>
    </row>
    <row r="53" spans="1:23" ht="13" x14ac:dyDescent="0.25">
      <c r="A53" s="23"/>
      <c r="B53" s="111"/>
      <c r="C53" s="98"/>
      <c r="D53" s="98"/>
      <c r="E53" s="98"/>
      <c r="F53" s="98"/>
      <c r="G53" s="82"/>
      <c r="H53" s="98"/>
      <c r="I53" s="98"/>
      <c r="J53" s="98"/>
      <c r="K53" s="98"/>
      <c r="L53" s="82"/>
      <c r="M53" s="114"/>
      <c r="N53" s="115"/>
      <c r="O53" s="97"/>
      <c r="P53" s="112"/>
      <c r="Q53" s="98"/>
    </row>
    <row r="54" spans="1:23" ht="13" x14ac:dyDescent="0.25">
      <c r="A54" s="23"/>
      <c r="B54" s="23"/>
      <c r="C54" s="98"/>
      <c r="D54" s="98"/>
      <c r="E54" s="98"/>
      <c r="F54" s="98"/>
      <c r="G54" s="98"/>
      <c r="H54" s="98"/>
      <c r="I54" s="98"/>
      <c r="J54" s="98"/>
      <c r="K54" s="98"/>
      <c r="L54" s="98"/>
      <c r="M54" s="41"/>
      <c r="N54" s="21"/>
      <c r="O54" s="16"/>
      <c r="P54" s="24"/>
      <c r="Q54" s="98"/>
    </row>
    <row r="55" spans="1:23" ht="15" thickBot="1" x14ac:dyDescent="0.4">
      <c r="A55" s="23"/>
      <c r="B55" s="1876" t="s">
        <v>499</v>
      </c>
      <c r="C55" s="1864"/>
      <c r="D55" s="1864"/>
      <c r="E55" s="1864"/>
      <c r="F55" s="1864"/>
      <c r="G55" s="321"/>
      <c r="H55" s="321"/>
      <c r="I55" s="321"/>
      <c r="J55" s="321"/>
      <c r="K55" s="321"/>
      <c r="L55" s="321"/>
      <c r="M55" s="378"/>
      <c r="N55" s="379"/>
      <c r="O55" s="16"/>
      <c r="P55" s="24"/>
      <c r="Q55" s="98"/>
    </row>
    <row r="56" spans="1:23" ht="15" thickTop="1" x14ac:dyDescent="0.35">
      <c r="A56" s="23"/>
      <c r="B56" s="380" t="s">
        <v>666</v>
      </c>
      <c r="C56" s="321"/>
      <c r="D56" s="321"/>
      <c r="E56" s="381"/>
      <c r="F56" s="381"/>
      <c r="G56" s="381"/>
      <c r="H56" s="381"/>
      <c r="I56" s="381"/>
      <c r="J56" s="381"/>
      <c r="K56" s="381"/>
      <c r="L56" s="321"/>
      <c r="M56" s="378"/>
      <c r="N56" s="382"/>
      <c r="O56" s="16"/>
      <c r="P56" s="24"/>
      <c r="Q56" s="98"/>
    </row>
    <row r="57" spans="1:23" ht="14.5" x14ac:dyDescent="0.35">
      <c r="A57" s="23"/>
      <c r="B57" s="380" t="s">
        <v>667</v>
      </c>
      <c r="C57" s="321"/>
      <c r="D57" s="321"/>
      <c r="E57" s="381"/>
      <c r="F57" s="381"/>
      <c r="G57" s="381"/>
      <c r="H57" s="381"/>
      <c r="I57" s="381"/>
      <c r="J57" s="381"/>
      <c r="K57" s="381"/>
      <c r="L57" s="321"/>
      <c r="M57" s="378"/>
      <c r="N57" s="382"/>
      <c r="O57" s="16"/>
      <c r="P57" s="24"/>
      <c r="Q57" s="98"/>
    </row>
    <row r="58" spans="1:23" ht="14.5" x14ac:dyDescent="0.35">
      <c r="A58" s="23"/>
      <c r="B58" s="377" t="s">
        <v>668</v>
      </c>
      <c r="C58" s="321"/>
      <c r="D58" s="321"/>
      <c r="E58" s="381"/>
      <c r="F58" s="381"/>
      <c r="G58" s="381"/>
      <c r="H58" s="381"/>
      <c r="I58" s="381"/>
      <c r="J58" s="381"/>
      <c r="K58" s="381"/>
      <c r="L58" s="321"/>
      <c r="M58" s="378"/>
      <c r="N58" s="382"/>
      <c r="O58" s="16"/>
      <c r="P58" s="24"/>
      <c r="Q58" s="98"/>
    </row>
    <row r="59" spans="1:23" ht="15" thickBot="1" x14ac:dyDescent="0.4">
      <c r="A59" s="23"/>
      <c r="B59" s="384"/>
      <c r="C59" s="385"/>
      <c r="D59" s="385"/>
      <c r="E59" s="385"/>
      <c r="F59" s="385"/>
      <c r="G59" s="385"/>
      <c r="H59" s="385"/>
      <c r="I59" s="385"/>
      <c r="J59" s="385"/>
      <c r="K59" s="385"/>
      <c r="L59" s="385"/>
      <c r="M59" s="386"/>
      <c r="N59" s="387"/>
      <c r="O59" s="143"/>
      <c r="P59" s="26"/>
      <c r="Q59" s="98"/>
    </row>
    <row r="60" spans="1:23" ht="14.5" x14ac:dyDescent="0.35">
      <c r="A60" s="23"/>
      <c r="B60" s="312"/>
      <c r="C60" s="225"/>
      <c r="D60" s="399"/>
      <c r="E60" s="225"/>
      <c r="F60" s="225"/>
      <c r="G60" s="321"/>
      <c r="H60" s="321"/>
      <c r="I60" s="98"/>
      <c r="J60" s="98"/>
      <c r="K60" s="98"/>
      <c r="L60" s="98"/>
      <c r="M60" s="98"/>
      <c r="N60" s="98"/>
      <c r="O60" s="98"/>
      <c r="P60" s="98"/>
      <c r="Q60" s="98"/>
    </row>
    <row r="61" spans="1:23" ht="15" customHeight="1" thickBot="1" x14ac:dyDescent="0.45">
      <c r="A61" s="48"/>
      <c r="B61" s="98"/>
      <c r="C61" s="98"/>
      <c r="D61" s="98"/>
      <c r="E61" s="98"/>
      <c r="F61" s="98"/>
      <c r="G61" s="98"/>
      <c r="H61" s="98"/>
      <c r="I61" s="98"/>
      <c r="J61" s="98"/>
      <c r="K61" s="98"/>
      <c r="L61" s="98"/>
      <c r="M61" s="98"/>
      <c r="N61" s="98"/>
      <c r="O61" s="98"/>
      <c r="P61" s="98"/>
      <c r="Q61" s="98"/>
    </row>
    <row r="62" spans="1:23" ht="15" customHeight="1" thickBot="1" x14ac:dyDescent="0.35">
      <c r="A62" s="23"/>
      <c r="B62" s="1894" t="str">
        <f>(brew1_abb&amp;" Landfill emissions from material")</f>
        <v>MAIN Landfill emissions from material</v>
      </c>
      <c r="C62" s="1895"/>
      <c r="D62" s="1895"/>
      <c r="E62" s="1895"/>
      <c r="F62" s="1896"/>
      <c r="G62" s="35"/>
      <c r="H62" s="35"/>
      <c r="I62" s="35"/>
      <c r="J62" s="35"/>
      <c r="K62" s="35"/>
      <c r="L62" s="35"/>
      <c r="M62" s="35"/>
      <c r="N62" s="35"/>
      <c r="O62" s="35"/>
      <c r="P62" s="36"/>
      <c r="Q62" s="98"/>
    </row>
    <row r="63" spans="1:23" ht="12.75" customHeight="1" x14ac:dyDescent="0.35">
      <c r="A63" s="23"/>
      <c r="B63" s="409" t="s">
        <v>669</v>
      </c>
      <c r="C63" s="98"/>
      <c r="D63" s="98"/>
      <c r="E63" s="98"/>
      <c r="F63" s="98"/>
      <c r="G63" s="98"/>
      <c r="H63" s="98"/>
      <c r="I63" s="98"/>
      <c r="J63" s="98"/>
      <c r="K63" s="98"/>
      <c r="L63" s="98"/>
      <c r="M63" s="98"/>
      <c r="N63" s="98"/>
      <c r="O63" s="98"/>
      <c r="P63" s="24"/>
      <c r="Q63" s="98"/>
    </row>
    <row r="64" spans="1:23" ht="14.5" x14ac:dyDescent="0.35">
      <c r="A64" s="23"/>
      <c r="B64" s="23"/>
      <c r="C64" s="236" t="s">
        <v>670</v>
      </c>
      <c r="D64" s="236"/>
      <c r="E64" s="321"/>
      <c r="F64" s="321"/>
      <c r="G64" s="236" t="s">
        <v>671</v>
      </c>
      <c r="H64" s="236"/>
      <c r="I64" s="321"/>
      <c r="J64" s="321"/>
      <c r="K64" s="321"/>
      <c r="L64" s="321"/>
      <c r="M64" s="236" t="s">
        <v>672</v>
      </c>
      <c r="N64" s="392"/>
      <c r="O64" s="321"/>
      <c r="P64" s="24"/>
      <c r="Q64" s="98"/>
      <c r="U64" s="32"/>
      <c r="V64" s="32"/>
      <c r="W64" s="32"/>
    </row>
    <row r="65" spans="1:26" ht="14.5" x14ac:dyDescent="0.35">
      <c r="A65" s="23"/>
      <c r="B65" s="23"/>
      <c r="C65" s="319">
        <v>0</v>
      </c>
      <c r="D65" s="388" t="s">
        <v>629</v>
      </c>
      <c r="E65" s="230"/>
      <c r="F65" s="230"/>
      <c r="G65" s="319">
        <f t="shared" ref="G65:G72" si="9">M29</f>
        <v>1399.9999999999991</v>
      </c>
      <c r="H65" s="388" t="s">
        <v>629</v>
      </c>
      <c r="I65" s="230"/>
      <c r="J65" s="230"/>
      <c r="K65" s="321"/>
      <c r="L65" s="321"/>
      <c r="M65" s="319">
        <f t="shared" ref="M65:M72" si="10">C65+G65</f>
        <v>1399.9999999999991</v>
      </c>
      <c r="N65" s="318" t="s">
        <v>629</v>
      </c>
      <c r="O65" s="230"/>
      <c r="P65" s="24"/>
      <c r="Q65" s="98"/>
      <c r="U65" s="32"/>
      <c r="V65" s="32"/>
      <c r="W65" s="32"/>
    </row>
    <row r="66" spans="1:26" ht="14.5" x14ac:dyDescent="0.35">
      <c r="A66" s="23"/>
      <c r="B66" s="23"/>
      <c r="C66" s="319">
        <v>0</v>
      </c>
      <c r="D66" s="388" t="s">
        <v>631</v>
      </c>
      <c r="E66" s="230"/>
      <c r="F66" s="230"/>
      <c r="G66" s="319">
        <f t="shared" si="9"/>
        <v>240</v>
      </c>
      <c r="H66" s="388" t="s">
        <v>631</v>
      </c>
      <c r="I66" s="230"/>
      <c r="J66" s="230"/>
      <c r="K66" s="321"/>
      <c r="L66" s="321"/>
      <c r="M66" s="319">
        <f t="shared" si="10"/>
        <v>240</v>
      </c>
      <c r="N66" s="318" t="s">
        <v>631</v>
      </c>
      <c r="O66" s="230"/>
      <c r="P66" s="24"/>
      <c r="Q66" s="98"/>
      <c r="S66" s="33"/>
      <c r="U66" s="32"/>
      <c r="V66" s="32"/>
      <c r="W66" s="32"/>
    </row>
    <row r="67" spans="1:26" ht="14.5" x14ac:dyDescent="0.35">
      <c r="A67" s="23"/>
      <c r="B67" s="23"/>
      <c r="C67" s="319">
        <v>0</v>
      </c>
      <c r="D67" s="388" t="s">
        <v>634</v>
      </c>
      <c r="E67" s="230"/>
      <c r="F67" s="230"/>
      <c r="G67" s="319">
        <f t="shared" si="9"/>
        <v>1999.9999999999995</v>
      </c>
      <c r="H67" s="388" t="s">
        <v>634</v>
      </c>
      <c r="I67" s="230"/>
      <c r="J67" s="230"/>
      <c r="K67" s="321"/>
      <c r="L67" s="321"/>
      <c r="M67" s="319">
        <f t="shared" si="10"/>
        <v>1999.9999999999995</v>
      </c>
      <c r="N67" s="318" t="s">
        <v>634</v>
      </c>
      <c r="O67" s="230"/>
      <c r="P67" s="24"/>
      <c r="Q67" s="98"/>
      <c r="U67" s="32"/>
      <c r="V67" s="32"/>
      <c r="W67" s="32"/>
    </row>
    <row r="68" spans="1:26" ht="14.5" x14ac:dyDescent="0.35">
      <c r="A68" s="23"/>
      <c r="B68" s="23"/>
      <c r="C68" s="319">
        <f>SUM(D22)</f>
        <v>100000</v>
      </c>
      <c r="D68" s="388" t="s">
        <v>637</v>
      </c>
      <c r="E68" s="230"/>
      <c r="F68" s="230"/>
      <c r="G68" s="319">
        <f t="shared" si="9"/>
        <v>0</v>
      </c>
      <c r="H68" s="388" t="s">
        <v>637</v>
      </c>
      <c r="I68" s="230"/>
      <c r="J68" s="230"/>
      <c r="K68" s="321"/>
      <c r="L68" s="321"/>
      <c r="M68" s="319">
        <f t="shared" si="10"/>
        <v>100000</v>
      </c>
      <c r="N68" s="318" t="s">
        <v>637</v>
      </c>
      <c r="O68" s="230"/>
      <c r="P68" s="24"/>
      <c r="Q68" s="98"/>
      <c r="U68" s="32"/>
      <c r="V68" s="32"/>
      <c r="W68" s="32"/>
    </row>
    <row r="69" spans="1:26" ht="14.5" x14ac:dyDescent="0.35">
      <c r="A69" s="23"/>
      <c r="B69" s="23"/>
      <c r="C69" s="319">
        <v>0</v>
      </c>
      <c r="D69" s="693" t="s">
        <v>639</v>
      </c>
      <c r="E69" s="230"/>
      <c r="F69" s="230"/>
      <c r="G69" s="319">
        <f t="shared" si="9"/>
        <v>241.99999999999997</v>
      </c>
      <c r="H69" s="693" t="s">
        <v>639</v>
      </c>
      <c r="I69" s="230"/>
      <c r="J69" s="230"/>
      <c r="K69" s="321"/>
      <c r="L69" s="321"/>
      <c r="M69" s="319">
        <f t="shared" si="10"/>
        <v>241.99999999999997</v>
      </c>
      <c r="N69" s="693" t="s">
        <v>639</v>
      </c>
      <c r="O69" s="230"/>
      <c r="P69" s="24"/>
      <c r="Q69" s="98"/>
      <c r="X69" s="32"/>
      <c r="Y69" s="32"/>
      <c r="Z69" s="32"/>
    </row>
    <row r="70" spans="1:26" ht="14.5" x14ac:dyDescent="0.35">
      <c r="A70" s="23"/>
      <c r="B70" s="23"/>
      <c r="C70" s="319">
        <v>0</v>
      </c>
      <c r="D70" s="388" t="s">
        <v>641</v>
      </c>
      <c r="E70" s="230"/>
      <c r="F70" s="230"/>
      <c r="G70" s="319">
        <f t="shared" si="9"/>
        <v>69.999999999999957</v>
      </c>
      <c r="H70" s="388" t="s">
        <v>641</v>
      </c>
      <c r="I70" s="230"/>
      <c r="J70" s="230"/>
      <c r="K70" s="321"/>
      <c r="L70" s="321"/>
      <c r="M70" s="319">
        <f t="shared" si="10"/>
        <v>69.999999999999957</v>
      </c>
      <c r="N70" s="318" t="s">
        <v>641</v>
      </c>
      <c r="O70" s="230"/>
      <c r="P70" s="24"/>
      <c r="Q70" s="98"/>
      <c r="X70" s="32"/>
      <c r="Y70" s="32"/>
      <c r="Z70" s="32"/>
    </row>
    <row r="71" spans="1:26" ht="14.5" x14ac:dyDescent="0.35">
      <c r="A71" s="23"/>
      <c r="B71" s="23"/>
      <c r="C71" s="319">
        <v>0</v>
      </c>
      <c r="D71" s="388" t="s">
        <v>673</v>
      </c>
      <c r="E71" s="230"/>
      <c r="F71" s="230"/>
      <c r="G71" s="319">
        <f t="shared" si="9"/>
        <v>20.000000000000018</v>
      </c>
      <c r="H71" s="388" t="s">
        <v>643</v>
      </c>
      <c r="I71" s="230"/>
      <c r="J71" s="230"/>
      <c r="K71" s="321"/>
      <c r="L71" s="321"/>
      <c r="M71" s="319">
        <f t="shared" si="10"/>
        <v>20.000000000000018</v>
      </c>
      <c r="N71" s="318" t="s">
        <v>643</v>
      </c>
      <c r="O71" s="230"/>
      <c r="P71" s="24"/>
      <c r="Q71" s="98"/>
      <c r="X71" s="32"/>
      <c r="Y71" s="32"/>
      <c r="Z71" s="32"/>
    </row>
    <row r="72" spans="1:26" ht="14.5" x14ac:dyDescent="0.35">
      <c r="A72" s="23"/>
      <c r="B72" s="23"/>
      <c r="C72" s="319">
        <v>0</v>
      </c>
      <c r="D72" s="388" t="s">
        <v>674</v>
      </c>
      <c r="E72" s="230"/>
      <c r="F72" s="230"/>
      <c r="G72" s="319">
        <f t="shared" si="9"/>
        <v>0</v>
      </c>
      <c r="H72" s="388" t="s">
        <v>646</v>
      </c>
      <c r="I72" s="230"/>
      <c r="J72" s="230"/>
      <c r="K72" s="321"/>
      <c r="L72" s="321"/>
      <c r="M72" s="319">
        <f t="shared" si="10"/>
        <v>0</v>
      </c>
      <c r="N72" s="318" t="s">
        <v>646</v>
      </c>
      <c r="O72" s="230"/>
      <c r="P72" s="24"/>
      <c r="Q72" s="98"/>
    </row>
    <row r="73" spans="1:26" ht="14.5" x14ac:dyDescent="0.35">
      <c r="A73" s="23"/>
      <c r="B73" s="23"/>
      <c r="C73" s="321"/>
      <c r="D73" s="321"/>
      <c r="E73" s="321"/>
      <c r="F73" s="321"/>
      <c r="G73" s="393"/>
      <c r="H73" s="321"/>
      <c r="I73" s="321"/>
      <c r="J73" s="321"/>
      <c r="K73" s="321"/>
      <c r="L73" s="321"/>
      <c r="M73" s="389">
        <f>SUM(M65:M72)</f>
        <v>103972</v>
      </c>
      <c r="N73" s="390" t="s">
        <v>675</v>
      </c>
      <c r="O73" s="394"/>
      <c r="P73" s="24"/>
      <c r="Q73" s="98"/>
    </row>
    <row r="74" spans="1:26" ht="14.5" x14ac:dyDescent="0.35">
      <c r="A74" s="23"/>
      <c r="B74" s="23"/>
      <c r="C74" s="321"/>
      <c r="D74" s="321"/>
      <c r="E74" s="321"/>
      <c r="F74" s="321"/>
      <c r="G74" s="393"/>
      <c r="H74" s="321"/>
      <c r="I74" s="321"/>
      <c r="J74" s="321"/>
      <c r="K74" s="321"/>
      <c r="L74" s="321"/>
      <c r="M74" s="397"/>
      <c r="N74" s="398"/>
      <c r="O74" s="321"/>
      <c r="P74" s="24"/>
      <c r="Q74" s="98"/>
    </row>
    <row r="75" spans="1:26" ht="14.5" x14ac:dyDescent="0.35">
      <c r="A75" s="23"/>
      <c r="B75" s="23"/>
      <c r="C75" s="321"/>
      <c r="D75" s="321"/>
      <c r="E75" s="321"/>
      <c r="F75" s="321"/>
      <c r="G75" s="392"/>
      <c r="H75" s="321"/>
      <c r="I75" s="321"/>
      <c r="J75" s="321"/>
      <c r="K75" s="321"/>
      <c r="L75" s="321"/>
      <c r="M75" s="392"/>
      <c r="N75" s="321"/>
      <c r="O75" s="321"/>
      <c r="P75" s="24"/>
      <c r="Q75" s="98"/>
    </row>
    <row r="76" spans="1:26" ht="14.5" x14ac:dyDescent="0.35">
      <c r="A76" s="23"/>
      <c r="B76" s="23"/>
      <c r="C76" s="98"/>
      <c r="D76" s="391"/>
      <c r="E76" s="321"/>
      <c r="F76" s="321"/>
      <c r="G76" s="321"/>
      <c r="H76" s="322" t="s">
        <v>676</v>
      </c>
      <c r="I76" s="321"/>
      <c r="J76" s="395"/>
      <c r="K76" s="321"/>
      <c r="L76" s="321"/>
      <c r="M76" s="1873" t="s">
        <v>677</v>
      </c>
      <c r="N76" s="1874"/>
      <c r="O76" s="1875"/>
      <c r="P76" s="24"/>
      <c r="Q76" s="98"/>
    </row>
    <row r="77" spans="1:26" ht="14.5" x14ac:dyDescent="0.35">
      <c r="A77" s="23"/>
      <c r="B77" s="23"/>
      <c r="C77" s="1903" t="s">
        <v>678</v>
      </c>
      <c r="D77" s="1903"/>
      <c r="E77" s="321"/>
      <c r="F77" s="321"/>
      <c r="G77" s="321"/>
      <c r="H77" s="236" t="s">
        <v>679</v>
      </c>
      <c r="I77" s="321"/>
      <c r="J77" s="225"/>
      <c r="K77" s="321"/>
      <c r="L77" s="321"/>
      <c r="M77" s="1904" t="s">
        <v>680</v>
      </c>
      <c r="N77" s="1905"/>
      <c r="O77" s="1906"/>
      <c r="P77" s="24"/>
      <c r="Q77" s="98"/>
    </row>
    <row r="78" spans="1:26" ht="14.5" x14ac:dyDescent="0.35">
      <c r="A78" s="23"/>
      <c r="B78" s="23"/>
      <c r="C78" s="319">
        <f t="shared" ref="C78:C85" si="11">M65</f>
        <v>1399.9999999999991</v>
      </c>
      <c r="D78" s="318" t="s">
        <v>629</v>
      </c>
      <c r="E78" s="321"/>
      <c r="F78" s="321"/>
      <c r="G78" s="1569">
        <v>0.45</v>
      </c>
      <c r="H78" s="1320" t="s">
        <v>681</v>
      </c>
      <c r="I78" s="321"/>
      <c r="J78" s="225"/>
      <c r="K78" s="321"/>
      <c r="L78" s="321"/>
      <c r="M78" s="1565" t="s">
        <v>613</v>
      </c>
      <c r="N78" s="1566">
        <f>C78*'Brewery-Control Data'!$L$38*'Brewery-Control Data'!$L$39*G78*'Brewery-Control Data'!$L$41</f>
        <v>285.76327499999979</v>
      </c>
      <c r="O78" s="1570" t="s">
        <v>177</v>
      </c>
      <c r="P78" s="24"/>
      <c r="Q78" s="98"/>
    </row>
    <row r="79" spans="1:26" ht="14.5" x14ac:dyDescent="0.35">
      <c r="A79" s="23"/>
      <c r="B79" s="23"/>
      <c r="C79" s="319">
        <f t="shared" si="11"/>
        <v>240</v>
      </c>
      <c r="D79" s="318" t="s">
        <v>631</v>
      </c>
      <c r="E79" s="321"/>
      <c r="F79" s="321"/>
      <c r="G79" s="1569">
        <v>0.02</v>
      </c>
      <c r="H79" s="1320" t="s">
        <v>682</v>
      </c>
      <c r="I79" s="321"/>
      <c r="J79" s="225"/>
      <c r="K79" s="321"/>
      <c r="L79" s="321"/>
      <c r="M79" s="1565" t="s">
        <v>632</v>
      </c>
      <c r="N79" s="1566">
        <f>C79*'Brewery-Control Data'!$L$38*'Brewery-Control Data'!$L$39*G79*'Brewery-Control Data'!$L$41</f>
        <v>2.177244</v>
      </c>
      <c r="O79" s="1570" t="s">
        <v>177</v>
      </c>
      <c r="P79" s="24"/>
      <c r="Q79" s="98"/>
    </row>
    <row r="80" spans="1:26" ht="14.5" x14ac:dyDescent="0.35">
      <c r="A80" s="23"/>
      <c r="B80" s="23"/>
      <c r="C80" s="319">
        <f t="shared" si="11"/>
        <v>1999.9999999999995</v>
      </c>
      <c r="D80" s="318" t="s">
        <v>634</v>
      </c>
      <c r="E80" s="321"/>
      <c r="F80" s="321"/>
      <c r="G80" s="1569">
        <v>-0.39</v>
      </c>
      <c r="H80" s="1320" t="s">
        <v>683</v>
      </c>
      <c r="I80" s="321"/>
      <c r="J80" s="225"/>
      <c r="K80" s="321"/>
      <c r="L80" s="321"/>
      <c r="M80" s="1565" t="s">
        <v>622</v>
      </c>
      <c r="N80" s="1566">
        <f>C80*'Brewery-Control Data'!$L$38*'Brewery-Control Data'!$L$39*G80*'Brewery-Control Data'!$L$41</f>
        <v>-353.80214999999993</v>
      </c>
      <c r="O80" s="1570" t="s">
        <v>177</v>
      </c>
      <c r="P80" s="24"/>
      <c r="Q80" s="98"/>
    </row>
    <row r="81" spans="1:17" ht="14.5" x14ac:dyDescent="0.35">
      <c r="A81" s="23"/>
      <c r="B81" s="23"/>
      <c r="C81" s="319">
        <f t="shared" si="11"/>
        <v>100000</v>
      </c>
      <c r="D81" s="318" t="s">
        <v>637</v>
      </c>
      <c r="E81" s="321"/>
      <c r="F81" s="321"/>
      <c r="G81" s="1569">
        <v>0.45</v>
      </c>
      <c r="H81" s="1320" t="s">
        <v>684</v>
      </c>
      <c r="I81" s="321"/>
      <c r="J81" s="225"/>
      <c r="K81" s="321"/>
      <c r="L81" s="321"/>
      <c r="M81" s="1565" t="s">
        <v>621</v>
      </c>
      <c r="N81" s="1566">
        <f>C81*'Brewery-Control Data'!$L$38*'Brewery-Control Data'!$L$39*G81*'Brewery-Control Data'!$L$41</f>
        <v>20411.662500000002</v>
      </c>
      <c r="O81" s="1570" t="s">
        <v>177</v>
      </c>
      <c r="P81" s="24"/>
      <c r="Q81" s="98"/>
    </row>
    <row r="82" spans="1:17" ht="14.5" x14ac:dyDescent="0.35">
      <c r="A82" s="23"/>
      <c r="B82" s="23"/>
      <c r="C82" s="319">
        <f t="shared" si="11"/>
        <v>241.99999999999997</v>
      </c>
      <c r="D82" s="693" t="s">
        <v>639</v>
      </c>
      <c r="E82" s="321"/>
      <c r="F82" s="321"/>
      <c r="G82" s="1569">
        <v>0.02</v>
      </c>
      <c r="H82" s="1320" t="s">
        <v>685</v>
      </c>
      <c r="I82" s="321"/>
      <c r="J82" s="225"/>
      <c r="K82" s="321"/>
      <c r="L82" s="321"/>
      <c r="M82" s="1565" t="s">
        <v>660</v>
      </c>
      <c r="N82" s="1566">
        <f>C82*'Brewery-Control Data'!$L$38*'Brewery-Control Data'!$L$39*G82*'Brewery-Control Data'!$L$41</f>
        <v>2.1953876999999999</v>
      </c>
      <c r="O82" s="1570" t="s">
        <v>177</v>
      </c>
      <c r="P82" s="24"/>
      <c r="Q82" s="98"/>
    </row>
    <row r="83" spans="1:17" ht="14.5" x14ac:dyDescent="0.35">
      <c r="A83" s="23"/>
      <c r="B83" s="23"/>
      <c r="C83" s="319">
        <f t="shared" si="11"/>
        <v>69.999999999999957</v>
      </c>
      <c r="D83" s="318" t="s">
        <v>641</v>
      </c>
      <c r="E83" s="321"/>
      <c r="F83" s="321"/>
      <c r="G83" s="1569">
        <v>0.02</v>
      </c>
      <c r="H83" s="1320" t="s">
        <v>686</v>
      </c>
      <c r="I83" s="321"/>
      <c r="J83" s="225"/>
      <c r="K83" s="321"/>
      <c r="L83" s="321"/>
      <c r="M83" s="1565" t="s">
        <v>158</v>
      </c>
      <c r="N83" s="1566">
        <f>C83*'Brewery-Control Data'!$L$38*'Brewery-Control Data'!$L$39*G83*'Brewery-Control Data'!$L$41</f>
        <v>0.6350294999999998</v>
      </c>
      <c r="O83" s="1570" t="s">
        <v>177</v>
      </c>
      <c r="P83" s="24"/>
      <c r="Q83" s="98"/>
    </row>
    <row r="84" spans="1:17" ht="14.5" x14ac:dyDescent="0.35">
      <c r="A84" s="23"/>
      <c r="B84" s="23"/>
      <c r="C84" s="319">
        <f t="shared" si="11"/>
        <v>20.000000000000018</v>
      </c>
      <c r="D84" s="318" t="s">
        <v>643</v>
      </c>
      <c r="E84" s="321"/>
      <c r="F84" s="321"/>
      <c r="G84" s="1569">
        <v>0.02</v>
      </c>
      <c r="H84" s="1320" t="s">
        <v>687</v>
      </c>
      <c r="I84" s="321"/>
      <c r="J84" s="225"/>
      <c r="K84" s="321"/>
      <c r="L84" s="321"/>
      <c r="M84" s="1565" t="s">
        <v>688</v>
      </c>
      <c r="N84" s="1566">
        <f>C84*'Brewery-Control Data'!$L$38*'Brewery-Control Data'!$L$39*G84*'Brewery-Control Data'!$L$41</f>
        <v>0.18143700000000015</v>
      </c>
      <c r="O84" s="1570" t="s">
        <v>177</v>
      </c>
      <c r="P84" s="24"/>
      <c r="Q84" s="98"/>
    </row>
    <row r="85" spans="1:17" ht="14.5" x14ac:dyDescent="0.35">
      <c r="A85" s="23"/>
      <c r="B85" s="23"/>
      <c r="C85" s="319">
        <f t="shared" si="11"/>
        <v>0</v>
      </c>
      <c r="D85" s="318" t="s">
        <v>646</v>
      </c>
      <c r="E85" s="321"/>
      <c r="F85" s="321"/>
      <c r="G85" s="1569">
        <v>0.02</v>
      </c>
      <c r="H85" s="1320" t="s">
        <v>689</v>
      </c>
      <c r="I85" s="321"/>
      <c r="J85" s="225"/>
      <c r="K85" s="321"/>
      <c r="L85" s="321"/>
      <c r="M85" s="1565" t="s">
        <v>690</v>
      </c>
      <c r="N85" s="1566">
        <f>C85*'Brewery-Control Data'!$L$38*'Brewery-Control Data'!$L$39*G85*'Brewery-Control Data'!$L$41</f>
        <v>0</v>
      </c>
      <c r="O85" s="1570" t="s">
        <v>177</v>
      </c>
      <c r="P85" s="24"/>
      <c r="Q85" s="98"/>
    </row>
    <row r="86" spans="1:17" ht="15" thickBot="1" x14ac:dyDescent="0.4">
      <c r="A86" s="23"/>
      <c r="B86" s="23"/>
      <c r="C86" s="319">
        <f>I14</f>
        <v>10000</v>
      </c>
      <c r="D86" s="849" t="s">
        <v>691</v>
      </c>
      <c r="E86" s="321"/>
      <c r="F86" s="321"/>
      <c r="G86" s="1569">
        <v>0.04</v>
      </c>
      <c r="H86" s="1320" t="s">
        <v>692</v>
      </c>
      <c r="I86" s="321"/>
      <c r="J86" s="225"/>
      <c r="K86" s="321"/>
      <c r="L86" s="321"/>
      <c r="M86" s="1571" t="s">
        <v>693</v>
      </c>
      <c r="N86" s="1566">
        <f>C86*'Brewery-Control Data'!$L$38*'Brewery-Control Data'!$L$39*G86*'Brewery-Control Data'!$L$41</f>
        <v>181.43699999999998</v>
      </c>
      <c r="O86" s="1570" t="s">
        <v>177</v>
      </c>
      <c r="P86" s="24"/>
      <c r="Q86" s="98"/>
    </row>
    <row r="87" spans="1:17" ht="15" thickBot="1" x14ac:dyDescent="0.4">
      <c r="A87" s="23"/>
      <c r="B87" s="23"/>
      <c r="C87" s="321"/>
      <c r="D87" s="321"/>
      <c r="E87" s="321"/>
      <c r="F87" s="321"/>
      <c r="G87" s="321"/>
      <c r="H87" s="321"/>
      <c r="I87" s="225"/>
      <c r="J87" s="225"/>
      <c r="K87" s="321"/>
      <c r="L87" s="1897" t="s">
        <v>694</v>
      </c>
      <c r="M87" s="1898"/>
      <c r="N87" s="1345">
        <f>SUM(N78:N86)</f>
        <v>20530.249723200006</v>
      </c>
      <c r="O87" s="613" t="s">
        <v>177</v>
      </c>
      <c r="P87" s="24"/>
      <c r="Q87" s="98"/>
    </row>
    <row r="88" spans="1:17" ht="15" thickBot="1" x14ac:dyDescent="0.4">
      <c r="A88" s="23"/>
      <c r="B88" s="23"/>
      <c r="C88" s="321"/>
      <c r="D88" s="321"/>
      <c r="E88" s="321"/>
      <c r="F88" s="321"/>
      <c r="G88" s="321"/>
      <c r="H88" s="321"/>
      <c r="I88" s="321"/>
      <c r="J88" s="321"/>
      <c r="K88" s="225"/>
      <c r="L88" s="1899" t="s">
        <v>276</v>
      </c>
      <c r="M88" s="1900"/>
      <c r="N88" s="1346">
        <f>'Brewery-Control Data'!$B$10</f>
        <v>123215.153565</v>
      </c>
      <c r="O88" s="1347" t="s">
        <v>125</v>
      </c>
      <c r="P88" s="24"/>
      <c r="Q88" s="98"/>
    </row>
    <row r="89" spans="1:17" ht="15" thickBot="1" x14ac:dyDescent="0.4">
      <c r="A89" s="23"/>
      <c r="B89" s="23"/>
      <c r="C89" s="321"/>
      <c r="D89" s="321"/>
      <c r="E89" s="321"/>
      <c r="F89" s="321"/>
      <c r="G89" s="392"/>
      <c r="H89" s="321"/>
      <c r="I89" s="321"/>
      <c r="J89" s="321"/>
      <c r="K89" s="321"/>
      <c r="L89" s="1901" t="s">
        <v>694</v>
      </c>
      <c r="M89" s="1902"/>
      <c r="N89" s="1348">
        <f>N87/N88</f>
        <v>0.16662114301038169</v>
      </c>
      <c r="O89" s="1349" t="s">
        <v>665</v>
      </c>
      <c r="P89" s="24"/>
      <c r="Q89" s="98"/>
    </row>
    <row r="90" spans="1:17" ht="14.5" x14ac:dyDescent="0.35">
      <c r="A90" s="23"/>
      <c r="B90" s="23"/>
      <c r="C90" s="321"/>
      <c r="D90" s="321"/>
      <c r="E90" s="321"/>
      <c r="F90" s="321"/>
      <c r="G90" s="392"/>
      <c r="H90" s="321"/>
      <c r="I90" s="321"/>
      <c r="J90" s="321"/>
      <c r="K90" s="321"/>
      <c r="L90" s="1713"/>
      <c r="M90" s="1713"/>
      <c r="N90" s="612"/>
      <c r="O90" s="400"/>
      <c r="P90" s="24"/>
      <c r="Q90" s="98"/>
    </row>
    <row r="91" spans="1:17" ht="15" thickBot="1" x14ac:dyDescent="0.4">
      <c r="A91" s="23"/>
      <c r="B91" s="1871" t="s">
        <v>695</v>
      </c>
      <c r="C91" s="1872"/>
      <c r="D91" s="1872"/>
      <c r="E91" s="1872"/>
      <c r="F91" s="1872"/>
      <c r="G91" s="392"/>
      <c r="H91" s="321"/>
      <c r="I91" s="321"/>
      <c r="J91" s="321"/>
      <c r="K91" s="321"/>
      <c r="L91" s="321"/>
      <c r="M91" s="392"/>
      <c r="N91" s="321"/>
      <c r="O91" s="321"/>
      <c r="P91" s="24"/>
      <c r="Q91" s="98"/>
    </row>
    <row r="92" spans="1:17" ht="15" thickTop="1" x14ac:dyDescent="0.35">
      <c r="A92" s="23"/>
      <c r="B92" s="380" t="s">
        <v>666</v>
      </c>
      <c r="C92" s="226"/>
      <c r="D92" s="226"/>
      <c r="E92" s="1331"/>
      <c r="F92" s="1331"/>
      <c r="G92" s="392"/>
      <c r="H92" s="321"/>
      <c r="I92" s="321"/>
      <c r="J92" s="321"/>
      <c r="K92" s="321"/>
      <c r="L92" s="321"/>
      <c r="M92" s="392"/>
      <c r="N92" s="321"/>
      <c r="O92" s="321"/>
      <c r="P92" s="24"/>
      <c r="Q92" s="98"/>
    </row>
    <row r="93" spans="1:17" ht="14.5" x14ac:dyDescent="0.35">
      <c r="A93" s="23"/>
      <c r="B93" s="380" t="s">
        <v>696</v>
      </c>
      <c r="C93" s="226"/>
      <c r="D93" s="226"/>
      <c r="E93" s="1331"/>
      <c r="F93" s="1331"/>
      <c r="G93" s="392"/>
      <c r="H93" s="321"/>
      <c r="I93" s="321"/>
      <c r="J93" s="321"/>
      <c r="K93" s="321"/>
      <c r="L93" s="321"/>
      <c r="M93" s="392"/>
      <c r="N93" s="321"/>
      <c r="O93" s="321"/>
      <c r="P93" s="24"/>
      <c r="Q93" s="98"/>
    </row>
    <row r="94" spans="1:17" ht="14.5" x14ac:dyDescent="0.35">
      <c r="A94" s="23"/>
      <c r="B94" s="377" t="s">
        <v>668</v>
      </c>
      <c r="C94" s="226"/>
      <c r="D94" s="226"/>
      <c r="E94" s="1331"/>
      <c r="F94" s="1331"/>
      <c r="G94" s="392"/>
      <c r="H94" s="321"/>
      <c r="I94" s="321"/>
      <c r="J94" s="321"/>
      <c r="K94" s="321"/>
      <c r="L94" s="321"/>
      <c r="M94" s="392"/>
      <c r="N94" s="321"/>
      <c r="O94" s="321"/>
      <c r="P94" s="24"/>
      <c r="Q94" s="98"/>
    </row>
    <row r="95" spans="1:17" ht="15" thickBot="1" x14ac:dyDescent="0.4">
      <c r="A95" s="23"/>
      <c r="B95" s="384"/>
      <c r="C95" s="385"/>
      <c r="D95" s="385"/>
      <c r="E95" s="385"/>
      <c r="F95" s="385"/>
      <c r="G95" s="385"/>
      <c r="H95" s="385"/>
      <c r="I95" s="385"/>
      <c r="J95" s="385"/>
      <c r="K95" s="385"/>
      <c r="L95" s="385"/>
      <c r="M95" s="386"/>
      <c r="N95" s="387"/>
      <c r="O95" s="143"/>
      <c r="P95" s="26"/>
      <c r="Q95" s="98"/>
    </row>
    <row r="96" spans="1:17" ht="13" x14ac:dyDescent="0.3">
      <c r="A96" s="23"/>
      <c r="B96" s="98"/>
      <c r="C96" s="98"/>
      <c r="D96" s="98"/>
      <c r="E96" s="17"/>
      <c r="F96" s="17"/>
      <c r="G96" s="17"/>
      <c r="H96" s="98"/>
      <c r="I96" s="98"/>
      <c r="J96" s="98"/>
      <c r="K96" s="371"/>
      <c r="L96" s="19"/>
      <c r="M96" s="17"/>
      <c r="N96" s="98"/>
      <c r="O96" s="98"/>
      <c r="P96" s="98"/>
      <c r="Q96" s="98"/>
    </row>
    <row r="97" spans="1:17" ht="13.5" thickBot="1" x14ac:dyDescent="0.35">
      <c r="A97" s="23"/>
      <c r="B97" s="18"/>
      <c r="C97" s="38"/>
      <c r="D97" s="98"/>
      <c r="E97" s="98"/>
      <c r="F97" s="98"/>
      <c r="G97" s="31"/>
      <c r="H97" s="98"/>
      <c r="I97" s="98"/>
      <c r="J97" s="98"/>
      <c r="K97" s="98"/>
      <c r="L97" s="98"/>
      <c r="M97" s="98"/>
      <c r="N97" s="98"/>
      <c r="O97" s="98"/>
      <c r="P97" s="98"/>
      <c r="Q97" s="98"/>
    </row>
    <row r="98" spans="1:17" ht="14.5" thickBot="1" x14ac:dyDescent="0.35">
      <c r="A98" s="23"/>
      <c r="B98" s="407" t="str">
        <f>(brew1_abb&amp;" By-Products")</f>
        <v>MAIN By-Products</v>
      </c>
      <c r="C98" s="408"/>
      <c r="D98" s="408"/>
      <c r="E98" s="35"/>
      <c r="F98" s="35"/>
      <c r="G98" s="144"/>
      <c r="H98" s="35"/>
      <c r="I98" s="35"/>
      <c r="J98" s="35"/>
      <c r="K98" s="35"/>
      <c r="L98" s="35"/>
      <c r="M98" s="35"/>
      <c r="N98" s="35"/>
      <c r="O98" s="35"/>
      <c r="P98" s="36"/>
      <c r="Q98" s="98"/>
    </row>
    <row r="99" spans="1:17" ht="14.5" x14ac:dyDescent="0.35">
      <c r="A99" s="23"/>
      <c r="B99" s="412" t="s">
        <v>697</v>
      </c>
      <c r="C99" s="98"/>
      <c r="D99" s="98"/>
      <c r="E99" s="98"/>
      <c r="F99" s="98"/>
      <c r="G99" s="31"/>
      <c r="H99" s="98"/>
      <c r="I99" s="98"/>
      <c r="J99" s="98"/>
      <c r="K99" s="98"/>
      <c r="L99" s="98"/>
      <c r="M99" s="98"/>
      <c r="N99" s="98"/>
      <c r="O99" s="98"/>
      <c r="P99" s="24"/>
      <c r="Q99" s="98"/>
    </row>
    <row r="100" spans="1:17" ht="14.5" x14ac:dyDescent="0.35">
      <c r="A100" s="23"/>
      <c r="B100" s="422"/>
      <c r="C100" s="418"/>
      <c r="D100" s="321"/>
      <c r="E100" s="321"/>
      <c r="F100" s="321"/>
      <c r="G100" s="413"/>
      <c r="H100" s="321"/>
      <c r="I100" s="321"/>
      <c r="J100" s="321"/>
      <c r="K100" s="321"/>
      <c r="L100" s="98"/>
      <c r="M100" s="98"/>
      <c r="N100" s="98"/>
      <c r="O100" s="98"/>
      <c r="P100" s="24"/>
      <c r="Q100" s="98"/>
    </row>
    <row r="101" spans="1:17" ht="14.5" x14ac:dyDescent="0.35">
      <c r="A101" s="23"/>
      <c r="B101" s="422"/>
      <c r="C101" s="1877" t="s">
        <v>619</v>
      </c>
      <c r="D101" s="1878"/>
      <c r="E101" s="1879"/>
      <c r="F101" s="321"/>
      <c r="G101" s="1880" t="s">
        <v>698</v>
      </c>
      <c r="H101" s="1881"/>
      <c r="I101" s="1881"/>
      <c r="J101" s="1882"/>
      <c r="K101" s="321"/>
      <c r="L101" s="1337"/>
      <c r="M101" s="1337"/>
      <c r="N101" s="1337"/>
      <c r="O101" s="1337"/>
      <c r="P101" s="24"/>
      <c r="Q101" s="98"/>
    </row>
    <row r="102" spans="1:17" ht="14.5" x14ac:dyDescent="0.35">
      <c r="A102" s="23"/>
      <c r="B102" s="422"/>
      <c r="C102" s="1703" t="s">
        <v>699</v>
      </c>
      <c r="D102" s="1333">
        <f>I18</f>
        <v>5000</v>
      </c>
      <c r="E102" s="420" t="s">
        <v>183</v>
      </c>
      <c r="F102" s="321"/>
      <c r="G102" s="1883" t="s">
        <v>700</v>
      </c>
      <c r="H102" s="1884"/>
      <c r="I102" s="424">
        <f>I19</f>
        <v>20000</v>
      </c>
      <c r="J102" s="420" t="s">
        <v>183</v>
      </c>
      <c r="K102" s="321"/>
      <c r="L102" s="1338"/>
      <c r="M102" s="1338"/>
      <c r="N102" s="1333"/>
      <c r="O102" s="225"/>
      <c r="P102" s="24"/>
      <c r="Q102" s="98"/>
    </row>
    <row r="103" spans="1:17" ht="14.5" x14ac:dyDescent="0.35">
      <c r="A103" s="23"/>
      <c r="B103" s="422"/>
      <c r="C103" s="1703" t="s">
        <v>701</v>
      </c>
      <c r="D103" s="1351">
        <v>2000</v>
      </c>
      <c r="E103" s="420" t="s">
        <v>183</v>
      </c>
      <c r="F103" s="321"/>
      <c r="G103" s="1883" t="s">
        <v>701</v>
      </c>
      <c r="H103" s="1884"/>
      <c r="I103" s="1351">
        <v>2000</v>
      </c>
      <c r="J103" s="420" t="s">
        <v>183</v>
      </c>
      <c r="K103" s="321"/>
      <c r="L103" s="1338"/>
      <c r="M103" s="1338"/>
      <c r="N103" s="1333"/>
      <c r="O103" s="225"/>
      <c r="P103" s="24"/>
      <c r="Q103" s="98"/>
    </row>
    <row r="104" spans="1:17" ht="14.5" x14ac:dyDescent="0.35">
      <c r="A104" s="23"/>
      <c r="B104" s="422"/>
      <c r="C104" s="1704" t="s">
        <v>702</v>
      </c>
      <c r="D104" s="1332">
        <f>D102/D103</f>
        <v>2.5</v>
      </c>
      <c r="E104" s="425" t="s">
        <v>703</v>
      </c>
      <c r="F104" s="321"/>
      <c r="G104" s="1885" t="s">
        <v>702</v>
      </c>
      <c r="H104" s="1886"/>
      <c r="I104" s="1332">
        <f>I102/I103</f>
        <v>10</v>
      </c>
      <c r="J104" s="425" t="s">
        <v>703</v>
      </c>
      <c r="K104" s="321"/>
      <c r="L104" s="1338"/>
      <c r="M104" s="1338"/>
      <c r="N104" s="1335"/>
      <c r="O104" s="225"/>
      <c r="P104" s="24"/>
      <c r="Q104" s="98"/>
    </row>
    <row r="105" spans="1:17" ht="14.5" x14ac:dyDescent="0.35">
      <c r="A105" s="23"/>
      <c r="B105" s="422"/>
      <c r="C105" s="1703"/>
      <c r="D105" s="426"/>
      <c r="E105" s="420"/>
      <c r="F105" s="321"/>
      <c r="G105" s="423"/>
      <c r="H105" s="321"/>
      <c r="I105" s="426"/>
      <c r="J105" s="420"/>
      <c r="K105" s="321"/>
      <c r="L105" s="1336"/>
      <c r="M105" s="225"/>
      <c r="N105" s="1334"/>
      <c r="O105" s="225"/>
      <c r="P105" s="24"/>
      <c r="Q105" s="98"/>
    </row>
    <row r="106" spans="1:17" ht="14.5" x14ac:dyDescent="0.35">
      <c r="A106" s="23"/>
      <c r="B106" s="422"/>
      <c r="C106" s="1705" t="s">
        <v>704</v>
      </c>
      <c r="D106" s="428">
        <v>10</v>
      </c>
      <c r="E106" s="420" t="s">
        <v>207</v>
      </c>
      <c r="F106" s="321"/>
      <c r="G106" s="1887" t="s">
        <v>704</v>
      </c>
      <c r="H106" s="1888"/>
      <c r="I106" s="428">
        <v>50</v>
      </c>
      <c r="J106" s="420" t="s">
        <v>207</v>
      </c>
      <c r="K106" s="321"/>
      <c r="L106" s="642"/>
      <c r="M106" s="642"/>
      <c r="N106" s="225"/>
      <c r="O106" s="225"/>
      <c r="P106" s="24"/>
      <c r="Q106" s="98"/>
    </row>
    <row r="107" spans="1:17" ht="14.5" x14ac:dyDescent="0.35">
      <c r="A107" s="23"/>
      <c r="B107" s="422"/>
      <c r="C107" s="1705" t="s">
        <v>705</v>
      </c>
      <c r="D107" s="1555">
        <f>'Brewery-Control Data'!$C$39</f>
        <v>6.3</v>
      </c>
      <c r="E107" s="420" t="s">
        <v>706</v>
      </c>
      <c r="F107" s="321"/>
      <c r="G107" s="1887" t="s">
        <v>705</v>
      </c>
      <c r="H107" s="1888"/>
      <c r="I107" s="1555">
        <f>'Brewery-Control Data'!$C$39</f>
        <v>6.3</v>
      </c>
      <c r="J107" s="420" t="s">
        <v>706</v>
      </c>
      <c r="K107" s="321"/>
      <c r="L107" s="642"/>
      <c r="M107" s="642"/>
      <c r="N107" s="225"/>
      <c r="O107" s="225"/>
      <c r="P107" s="24"/>
      <c r="Q107" s="98"/>
    </row>
    <row r="108" spans="1:17" ht="14.5" x14ac:dyDescent="0.35">
      <c r="A108" s="23"/>
      <c r="B108" s="422"/>
      <c r="C108" s="1705" t="s">
        <v>707</v>
      </c>
      <c r="D108" s="1555">
        <f>'Brewery-Control Data'!$C$40</f>
        <v>10.210000000000001</v>
      </c>
      <c r="E108" s="420" t="s">
        <v>708</v>
      </c>
      <c r="F108" s="321"/>
      <c r="G108" s="1887" t="s">
        <v>707</v>
      </c>
      <c r="H108" s="1888"/>
      <c r="I108" s="1555">
        <f>'Brewery-Control Data'!$C$40</f>
        <v>10.210000000000001</v>
      </c>
      <c r="J108" s="420" t="s">
        <v>709</v>
      </c>
      <c r="K108" s="321"/>
      <c r="L108" s="642"/>
      <c r="M108" s="642"/>
      <c r="N108" s="225"/>
      <c r="O108" s="225"/>
      <c r="P108" s="24"/>
      <c r="Q108" s="98"/>
    </row>
    <row r="109" spans="1:17" ht="14.5" x14ac:dyDescent="0.35">
      <c r="A109" s="23"/>
      <c r="B109" s="422"/>
      <c r="C109" s="1706" t="s">
        <v>710</v>
      </c>
      <c r="D109" s="429">
        <f>(D106/D107)*D108</f>
        <v>16.206349206349209</v>
      </c>
      <c r="E109" s="430" t="s">
        <v>709</v>
      </c>
      <c r="F109" s="321"/>
      <c r="G109" s="1889" t="s">
        <v>710</v>
      </c>
      <c r="H109" s="1890"/>
      <c r="I109" s="429">
        <f>(I106/I107)*I108</f>
        <v>81.031746031746039</v>
      </c>
      <c r="J109" s="430" t="s">
        <v>709</v>
      </c>
      <c r="K109" s="431"/>
      <c r="L109" s="642"/>
      <c r="M109" s="642"/>
      <c r="N109" s="379"/>
      <c r="O109" s="225"/>
      <c r="P109" s="24"/>
      <c r="Q109" s="98"/>
    </row>
    <row r="110" spans="1:17" ht="14.5" x14ac:dyDescent="0.35">
      <c r="A110" s="23"/>
      <c r="B110" s="422"/>
      <c r="C110" s="1705"/>
      <c r="D110" s="432"/>
      <c r="E110" s="420"/>
      <c r="F110" s="321"/>
      <c r="G110" s="427"/>
      <c r="H110" s="321"/>
      <c r="I110" s="432"/>
      <c r="J110" s="420"/>
      <c r="K110" s="321"/>
      <c r="L110" s="225"/>
      <c r="M110" s="225"/>
      <c r="N110" s="379"/>
      <c r="O110" s="225"/>
      <c r="P110" s="24"/>
      <c r="Q110" s="98"/>
    </row>
    <row r="111" spans="1:17" ht="14.5" x14ac:dyDescent="0.35">
      <c r="A111" s="23"/>
      <c r="B111" s="422"/>
      <c r="C111" s="1707" t="s">
        <v>711</v>
      </c>
      <c r="D111" s="433">
        <f>D109*D104</f>
        <v>40.515873015873026</v>
      </c>
      <c r="E111" s="434" t="s">
        <v>709</v>
      </c>
      <c r="F111" s="321"/>
      <c r="G111" s="1891" t="s">
        <v>711</v>
      </c>
      <c r="H111" s="1892"/>
      <c r="I111" s="433">
        <f>I109*I104</f>
        <v>810.31746031746036</v>
      </c>
      <c r="J111" s="434" t="s">
        <v>709</v>
      </c>
      <c r="K111" s="321"/>
      <c r="L111" s="1339"/>
      <c r="M111" s="1339"/>
      <c r="N111" s="382"/>
      <c r="O111" s="400"/>
      <c r="P111" s="24"/>
      <c r="Q111" s="98"/>
    </row>
    <row r="112" spans="1:17" ht="15" thickBot="1" x14ac:dyDescent="0.4">
      <c r="A112" s="23"/>
      <c r="B112" s="422"/>
      <c r="C112" s="418"/>
      <c r="D112" s="321"/>
      <c r="E112" s="321"/>
      <c r="F112" s="321"/>
      <c r="G112" s="413"/>
      <c r="H112" s="321"/>
      <c r="I112" s="321"/>
      <c r="J112" s="321"/>
      <c r="K112" s="321"/>
      <c r="L112" s="16"/>
      <c r="M112" s="16"/>
      <c r="N112" s="16"/>
      <c r="O112" s="16"/>
      <c r="P112" s="24"/>
      <c r="Q112" s="98"/>
    </row>
    <row r="113" spans="1:27" ht="15" thickBot="1" x14ac:dyDescent="0.4">
      <c r="A113" s="23"/>
      <c r="B113" s="23"/>
      <c r="C113" s="1364">
        <f>SUM(D111,I111)</f>
        <v>850.83333333333337</v>
      </c>
      <c r="D113" s="1362" t="s">
        <v>712</v>
      </c>
      <c r="E113" s="1365"/>
      <c r="F113" s="98"/>
      <c r="G113" s="413"/>
      <c r="H113" s="321"/>
      <c r="I113" s="321"/>
      <c r="J113" s="321"/>
      <c r="K113" s="321"/>
      <c r="L113" s="98"/>
      <c r="M113" s="98"/>
      <c r="N113" s="98"/>
      <c r="O113" s="98"/>
      <c r="P113" s="24"/>
      <c r="Q113" s="98"/>
    </row>
    <row r="114" spans="1:27" ht="15" thickBot="1" x14ac:dyDescent="0.4">
      <c r="A114" s="23"/>
      <c r="B114" s="23"/>
      <c r="C114" s="1366">
        <f>'Brewery-Control Data'!$B$10</f>
        <v>123215.153565</v>
      </c>
      <c r="D114" s="1369" t="s">
        <v>276</v>
      </c>
      <c r="E114" s="24"/>
      <c r="F114" s="98"/>
      <c r="G114" s="413"/>
      <c r="H114" s="321"/>
      <c r="I114" s="321"/>
      <c r="J114" s="321"/>
      <c r="K114" s="321"/>
      <c r="L114" s="98"/>
      <c r="M114" s="98"/>
      <c r="N114" s="98"/>
      <c r="O114" s="98"/>
      <c r="P114" s="24"/>
      <c r="Q114" s="98"/>
    </row>
    <row r="115" spans="1:27" ht="15" thickBot="1" x14ac:dyDescent="0.4">
      <c r="A115" s="23"/>
      <c r="B115" s="23"/>
      <c r="C115" s="1367">
        <f>C113/C114</f>
        <v>6.9052653729355712E-3</v>
      </c>
      <c r="D115" s="1363" t="s">
        <v>713</v>
      </c>
      <c r="E115" s="1368"/>
      <c r="F115" s="98"/>
      <c r="G115" s="413"/>
      <c r="H115" s="321"/>
      <c r="I115" s="321"/>
      <c r="J115" s="321"/>
      <c r="K115" s="321"/>
      <c r="L115" s="98"/>
      <c r="M115" s="98"/>
      <c r="N115" s="98"/>
      <c r="O115" s="98"/>
      <c r="P115" s="24"/>
      <c r="Q115" s="98"/>
    </row>
    <row r="116" spans="1:27" ht="14.5" x14ac:dyDescent="0.35">
      <c r="A116" s="23"/>
      <c r="B116" s="422"/>
      <c r="C116" s="321"/>
      <c r="D116" s="321"/>
      <c r="E116" s="321"/>
      <c r="F116" s="98"/>
      <c r="G116" s="413"/>
      <c r="H116" s="321"/>
      <c r="I116" s="321"/>
      <c r="J116" s="321"/>
      <c r="K116" s="321"/>
      <c r="L116" s="98"/>
      <c r="M116" s="98"/>
      <c r="N116" s="98"/>
      <c r="O116" s="98"/>
      <c r="P116" s="24"/>
      <c r="Q116" s="98"/>
    </row>
    <row r="117" spans="1:27" ht="13" x14ac:dyDescent="0.3">
      <c r="A117" s="23"/>
      <c r="B117" s="120"/>
      <c r="C117" s="38"/>
      <c r="D117" s="98"/>
      <c r="E117" s="98"/>
      <c r="F117" s="98"/>
      <c r="G117" s="31"/>
      <c r="H117" s="98"/>
      <c r="I117" s="98"/>
      <c r="J117" s="98"/>
      <c r="K117" s="98"/>
      <c r="L117" s="98"/>
      <c r="M117" s="98"/>
      <c r="N117" s="98"/>
      <c r="O117" s="98"/>
      <c r="P117" s="24"/>
      <c r="Q117" s="98"/>
    </row>
    <row r="118" spans="1:27" ht="15" thickBot="1" x14ac:dyDescent="0.4">
      <c r="A118" s="23"/>
      <c r="B118" s="1876" t="s">
        <v>695</v>
      </c>
      <c r="C118" s="1864"/>
      <c r="D118" s="1864"/>
      <c r="E118" s="1864"/>
      <c r="F118" s="1864"/>
      <c r="G118" s="31"/>
      <c r="H118" s="98"/>
      <c r="I118" s="98"/>
      <c r="J118" s="98"/>
      <c r="K118" s="98"/>
      <c r="L118" s="98"/>
      <c r="M118" s="98"/>
      <c r="N118" s="98"/>
      <c r="O118" s="98"/>
      <c r="P118" s="24"/>
      <c r="Q118" s="98"/>
    </row>
    <row r="119" spans="1:27" ht="15" thickTop="1" x14ac:dyDescent="0.35">
      <c r="A119" s="23"/>
      <c r="B119" s="383" t="s">
        <v>714</v>
      </c>
      <c r="C119" s="38"/>
      <c r="D119" s="98"/>
      <c r="E119" s="98"/>
      <c r="F119" s="98"/>
      <c r="G119" s="31"/>
      <c r="H119" s="98"/>
      <c r="I119" s="98"/>
      <c r="J119" s="98"/>
      <c r="K119" s="98"/>
      <c r="L119" s="98"/>
      <c r="M119" s="98"/>
      <c r="N119" s="98"/>
      <c r="O119" s="98"/>
      <c r="P119" s="24"/>
      <c r="Q119" s="98"/>
    </row>
    <row r="120" spans="1:27" ht="14.5" x14ac:dyDescent="0.35">
      <c r="A120" s="23"/>
      <c r="B120" s="383"/>
      <c r="C120" s="38"/>
      <c r="D120" s="98"/>
      <c r="E120" s="98"/>
      <c r="F120" s="98"/>
      <c r="G120" s="31"/>
      <c r="H120" s="98"/>
      <c r="I120" s="98"/>
      <c r="J120" s="98"/>
      <c r="K120" s="98"/>
      <c r="L120" s="98"/>
      <c r="M120" s="98"/>
      <c r="N120" s="98"/>
      <c r="O120" s="98"/>
      <c r="P120" s="24"/>
      <c r="Q120" s="98"/>
    </row>
    <row r="121" spans="1:27" ht="14.5" x14ac:dyDescent="0.35">
      <c r="A121" s="23"/>
      <c r="B121" s="383" t="s">
        <v>715</v>
      </c>
      <c r="C121" s="38"/>
      <c r="D121" s="98"/>
      <c r="E121" s="98"/>
      <c r="F121" s="98"/>
      <c r="G121" s="31"/>
      <c r="H121" s="98"/>
      <c r="I121" s="98"/>
      <c r="J121" s="98"/>
      <c r="K121" s="98"/>
      <c r="L121" s="98"/>
      <c r="M121" s="98"/>
      <c r="N121" s="98"/>
      <c r="O121" s="98"/>
      <c r="P121" s="24"/>
      <c r="Q121" s="98"/>
    </row>
    <row r="122" spans="1:27" ht="15" thickBot="1" x14ac:dyDescent="0.4">
      <c r="A122" s="23"/>
      <c r="B122" s="145"/>
      <c r="C122" s="414"/>
      <c r="D122" s="415"/>
      <c r="E122" s="387"/>
      <c r="F122" s="401"/>
      <c r="G122" s="416"/>
      <c r="H122" s="385"/>
      <c r="I122" s="385"/>
      <c r="J122" s="385"/>
      <c r="K122" s="385"/>
      <c r="L122" s="385"/>
      <c r="M122" s="22"/>
      <c r="N122" s="22"/>
      <c r="O122" s="22"/>
      <c r="P122" s="26"/>
      <c r="Q122" s="98"/>
    </row>
    <row r="123" spans="1:27" ht="13" x14ac:dyDescent="0.3">
      <c r="A123" s="23"/>
      <c r="B123" s="18"/>
      <c r="C123" s="38"/>
      <c r="D123" s="98"/>
      <c r="E123" s="98"/>
      <c r="F123" s="98"/>
      <c r="G123" s="31"/>
      <c r="H123" s="98"/>
      <c r="I123" s="98"/>
      <c r="J123" s="98"/>
      <c r="K123" s="98"/>
      <c r="L123" s="98"/>
      <c r="M123" s="98"/>
      <c r="N123" s="98"/>
      <c r="O123" s="98"/>
      <c r="P123" s="98"/>
      <c r="Q123" s="98"/>
    </row>
    <row r="124" spans="1:27" ht="15" thickBot="1" x14ac:dyDescent="0.4">
      <c r="A124" s="23"/>
      <c r="B124" s="98"/>
      <c r="C124" s="38"/>
      <c r="D124" s="98"/>
      <c r="E124" s="98"/>
      <c r="F124" s="98"/>
      <c r="G124" s="98"/>
      <c r="H124" s="98"/>
      <c r="I124" s="98"/>
      <c r="J124" s="98"/>
      <c r="K124" s="98"/>
      <c r="L124" s="98"/>
      <c r="M124" s="98"/>
      <c r="N124" s="98"/>
      <c r="O124" s="98"/>
      <c r="P124" s="98"/>
      <c r="Q124" s="98"/>
      <c r="U124" s="687"/>
      <c r="V124" s="687"/>
      <c r="W124" s="687"/>
      <c r="X124" s="687"/>
    </row>
    <row r="125" spans="1:27" ht="15" thickBot="1" x14ac:dyDescent="0.4">
      <c r="A125" s="23"/>
      <c r="B125" s="1370">
        <f>N87+N50+C113</f>
        <v>22145.785580433338</v>
      </c>
      <c r="C125" s="482" t="str">
        <f>(brew1_abb&amp;" Total Emissions from Manufactured Waste (kg CO2e)")</f>
        <v>MAIN Total Emissions from Manufactured Waste (kg CO2e)</v>
      </c>
      <c r="D125" s="1340"/>
      <c r="E125" s="1340"/>
      <c r="F125" s="435"/>
      <c r="H125" s="98"/>
      <c r="I125" s="98"/>
      <c r="J125" s="98"/>
      <c r="K125" s="98"/>
      <c r="L125" s="98"/>
      <c r="M125" s="98"/>
      <c r="N125" s="98"/>
      <c r="O125" s="98"/>
      <c r="P125" s="98"/>
      <c r="Q125" s="98"/>
      <c r="W125" s="687"/>
      <c r="X125" s="95"/>
      <c r="Y125" s="109"/>
      <c r="Z125" s="1893"/>
      <c r="AA125" s="1893"/>
    </row>
    <row r="126" spans="1:27" ht="15" thickBot="1" x14ac:dyDescent="0.4">
      <c r="A126" s="23"/>
      <c r="B126" s="1371">
        <f>'Brewery-Control Data'!$B$10</f>
        <v>123215.153565</v>
      </c>
      <c r="C126" s="381" t="s">
        <v>276</v>
      </c>
      <c r="D126" s="1374"/>
      <c r="E126" s="391"/>
      <c r="F126" s="901"/>
      <c r="H126" s="98"/>
      <c r="I126" s="98"/>
      <c r="J126" s="98"/>
      <c r="K126" s="98"/>
      <c r="L126" s="98"/>
      <c r="M126" s="98"/>
      <c r="N126" s="98"/>
      <c r="O126" s="98"/>
      <c r="P126" s="98"/>
      <c r="Q126" s="98"/>
      <c r="R126" s="687"/>
      <c r="T126" s="457"/>
      <c r="U126" s="87"/>
      <c r="V126" s="687"/>
      <c r="W126" s="687"/>
      <c r="X126" s="687"/>
    </row>
    <row r="127" spans="1:27" ht="15" thickBot="1" x14ac:dyDescent="0.4">
      <c r="A127" s="25"/>
      <c r="B127" s="1372">
        <f>B125/B126</f>
        <v>0.17973264602353245</v>
      </c>
      <c r="C127" s="615" t="str">
        <f>(brew1_abb&amp;" Total Emissions from Manufactured Waste (kg CO2e/hL)")</f>
        <v>MAIN Total Emissions from Manufactured Waste (kg CO2e/hL)</v>
      </c>
      <c r="D127" s="1341"/>
      <c r="E127" s="1341"/>
      <c r="F127" s="436"/>
      <c r="H127" s="687"/>
      <c r="I127" s="687"/>
      <c r="J127" s="687"/>
      <c r="K127" s="687"/>
      <c r="L127" s="687"/>
      <c r="M127" s="687"/>
      <c r="N127" s="687"/>
      <c r="O127" s="687"/>
      <c r="P127" s="687"/>
      <c r="Q127" s="687"/>
      <c r="R127" s="687"/>
      <c r="S127" s="687"/>
      <c r="T127" s="457"/>
      <c r="U127" s="87"/>
      <c r="V127" s="687"/>
      <c r="W127" s="687"/>
      <c r="X127" s="687"/>
    </row>
    <row r="128" spans="1:27" ht="14.5" x14ac:dyDescent="0.35">
      <c r="B128" s="687"/>
      <c r="C128" s="109"/>
      <c r="D128" s="109"/>
      <c r="E128" s="109"/>
      <c r="F128" s="109"/>
      <c r="G128" s="687"/>
      <c r="H128" s="687"/>
      <c r="I128" s="687"/>
      <c r="J128" s="687"/>
      <c r="K128" s="687"/>
      <c r="L128" s="687"/>
      <c r="M128" s="687"/>
      <c r="N128" s="687"/>
      <c r="O128" s="687"/>
      <c r="P128" s="687"/>
      <c r="Q128" s="687"/>
      <c r="R128" s="687"/>
      <c r="S128" s="687"/>
      <c r="T128" s="457"/>
      <c r="U128" s="687"/>
      <c r="V128" s="687"/>
      <c r="W128" s="687"/>
      <c r="X128" s="687"/>
    </row>
    <row r="129" spans="1:24" ht="14.5" x14ac:dyDescent="0.35">
      <c r="R129" s="457"/>
      <c r="U129" s="687"/>
      <c r="V129" s="687"/>
    </row>
    <row r="130" spans="1:24" ht="15" thickBot="1" x14ac:dyDescent="0.4">
      <c r="B130" s="180"/>
      <c r="C130" s="181"/>
      <c r="D130" s="181"/>
      <c r="E130" s="181"/>
      <c r="F130" s="181"/>
      <c r="G130" s="181"/>
      <c r="H130" s="181"/>
      <c r="I130" s="181"/>
      <c r="J130" s="181"/>
      <c r="K130" s="181"/>
      <c r="L130" s="457"/>
      <c r="M130" s="162"/>
      <c r="N130" s="182"/>
      <c r="O130" s="457"/>
      <c r="P130" s="457"/>
      <c r="Q130" s="457"/>
      <c r="R130" s="457"/>
      <c r="S130" s="687"/>
      <c r="T130" s="687"/>
      <c r="U130" s="687"/>
      <c r="V130" s="687"/>
    </row>
    <row r="131" spans="1:24" ht="16" thickBot="1" x14ac:dyDescent="0.4">
      <c r="A131" s="843" t="str">
        <f>(brew2_abb&amp;" Waste Data")</f>
        <v>2ND Waste Data</v>
      </c>
      <c r="B131" s="850"/>
      <c r="C131" s="181"/>
      <c r="D131" s="181"/>
      <c r="E131" s="181"/>
      <c r="F131" s="181"/>
      <c r="G131" s="181"/>
      <c r="H131" s="181"/>
      <c r="I131" s="181"/>
      <c r="J131" s="181"/>
      <c r="K131" s="181"/>
      <c r="L131" s="457"/>
      <c r="M131" s="162"/>
      <c r="N131" s="457"/>
      <c r="O131" s="457"/>
      <c r="P131" s="457"/>
      <c r="Q131" s="457"/>
      <c r="R131" s="457"/>
      <c r="S131" s="687"/>
      <c r="T131" s="687"/>
    </row>
    <row r="132" spans="1:24" ht="15" thickBot="1" x14ac:dyDescent="0.4">
      <c r="A132" s="848"/>
      <c r="B132" s="1841" t="s">
        <v>716</v>
      </c>
      <c r="C132" s="1842"/>
      <c r="D132" s="1842"/>
      <c r="E132" s="1842"/>
      <c r="F132" s="1842"/>
      <c r="G132" s="1842"/>
      <c r="H132" s="1842"/>
      <c r="I132" s="1843"/>
      <c r="J132" s="689"/>
      <c r="K132" s="299"/>
      <c r="L132" s="299"/>
      <c r="M132" s="299"/>
      <c r="N132" s="299"/>
      <c r="O132" s="299"/>
      <c r="P132" s="299"/>
      <c r="Q132" s="457"/>
      <c r="R132" s="457"/>
      <c r="S132" s="687"/>
      <c r="T132" s="457"/>
      <c r="U132" s="687"/>
      <c r="V132" s="687"/>
      <c r="W132" s="687"/>
      <c r="X132" s="687"/>
    </row>
    <row r="133" spans="1:24" ht="14.5" x14ac:dyDescent="0.35">
      <c r="A133" s="417"/>
      <c r="B133" s="1324" t="s">
        <v>604</v>
      </c>
      <c r="C133" s="229" t="s">
        <v>605</v>
      </c>
      <c r="D133" s="229" t="s">
        <v>606</v>
      </c>
      <c r="E133" s="229" t="s">
        <v>607</v>
      </c>
      <c r="F133" s="229" t="s">
        <v>608</v>
      </c>
      <c r="G133" s="229" t="s">
        <v>609</v>
      </c>
      <c r="H133" s="229" t="s">
        <v>610</v>
      </c>
      <c r="I133" s="1325" t="s">
        <v>611</v>
      </c>
      <c r="J133" s="689"/>
      <c r="K133" s="1307"/>
      <c r="L133" s="1344"/>
      <c r="M133" s="849"/>
      <c r="N133" s="849"/>
      <c r="O133" s="849"/>
      <c r="P133" s="849"/>
      <c r="Q133" s="849"/>
      <c r="R133" s="457"/>
      <c r="S133" s="687"/>
      <c r="T133" s="457"/>
      <c r="U133" s="687"/>
      <c r="V133" s="687"/>
      <c r="W133" s="687"/>
      <c r="X133" s="687"/>
    </row>
    <row r="134" spans="1:24" ht="14.5" x14ac:dyDescent="0.35">
      <c r="A134" s="417"/>
      <c r="B134" s="1326" t="s">
        <v>158</v>
      </c>
      <c r="C134" s="300"/>
      <c r="D134" s="300"/>
      <c r="E134" s="300"/>
      <c r="F134" s="300">
        <v>1000</v>
      </c>
      <c r="G134" s="300"/>
      <c r="H134" s="300"/>
      <c r="I134" s="1327">
        <f>SUM(C134:H134)</f>
        <v>1000</v>
      </c>
      <c r="J134" s="689"/>
      <c r="K134" s="1306"/>
      <c r="L134" s="642"/>
      <c r="M134" s="642"/>
      <c r="N134" s="642"/>
      <c r="O134" s="642"/>
      <c r="P134" s="642"/>
      <c r="Q134" s="108"/>
      <c r="R134" s="457"/>
      <c r="S134" s="687"/>
      <c r="T134" s="457"/>
      <c r="U134" s="687"/>
      <c r="V134" s="687"/>
      <c r="W134" s="687"/>
      <c r="X134" s="687"/>
    </row>
    <row r="135" spans="1:24" ht="14.5" x14ac:dyDescent="0.35">
      <c r="A135" s="417"/>
      <c r="B135" s="1326" t="s">
        <v>612</v>
      </c>
      <c r="C135" s="300"/>
      <c r="D135" s="300"/>
      <c r="E135" s="300"/>
      <c r="F135" s="300">
        <v>2000</v>
      </c>
      <c r="G135" s="300"/>
      <c r="H135" s="300"/>
      <c r="I135" s="1327">
        <f t="shared" ref="I135" si="12">SUM(C135:H135)</f>
        <v>2000</v>
      </c>
      <c r="J135" s="689"/>
      <c r="K135" s="1306"/>
      <c r="L135" s="1333"/>
      <c r="M135" s="849"/>
      <c r="N135" s="849"/>
      <c r="O135" s="849"/>
      <c r="P135" s="849"/>
      <c r="Q135" s="1265"/>
      <c r="R135" s="16"/>
      <c r="T135" s="457"/>
      <c r="U135" s="687"/>
      <c r="V135" s="687"/>
      <c r="W135" s="687"/>
      <c r="X135" s="687"/>
    </row>
    <row r="136" spans="1:24" ht="14.5" x14ac:dyDescent="0.35">
      <c r="A136" s="417"/>
      <c r="B136" s="1326" t="s">
        <v>613</v>
      </c>
      <c r="C136" s="300"/>
      <c r="D136" s="300"/>
      <c r="E136" s="300"/>
      <c r="F136" s="300">
        <v>20000</v>
      </c>
      <c r="G136" s="300"/>
      <c r="H136" s="300"/>
      <c r="I136" s="1327">
        <f t="shared" ref="I136:I137" si="13">SUM(C136:H136)</f>
        <v>20000</v>
      </c>
      <c r="J136" s="689"/>
      <c r="K136" s="1342"/>
      <c r="L136" s="642"/>
      <c r="M136" s="642"/>
      <c r="N136" s="642"/>
      <c r="O136" s="642"/>
      <c r="P136" s="642"/>
      <c r="Q136" s="108"/>
      <c r="R136" s="16"/>
      <c r="T136" s="16"/>
      <c r="U136" s="687"/>
      <c r="V136" s="687"/>
      <c r="W136" s="687"/>
      <c r="X136" s="687"/>
    </row>
    <row r="137" spans="1:24" ht="14.5" x14ac:dyDescent="0.35">
      <c r="A137" s="417"/>
      <c r="B137" s="1326" t="s">
        <v>614</v>
      </c>
      <c r="C137" s="300"/>
      <c r="D137" s="300"/>
      <c r="E137" s="300"/>
      <c r="F137" s="300">
        <v>1000</v>
      </c>
      <c r="G137" s="300"/>
      <c r="H137" s="300"/>
      <c r="I137" s="1327">
        <f t="shared" si="13"/>
        <v>1000</v>
      </c>
      <c r="J137" s="689"/>
      <c r="K137" s="1307"/>
      <c r="L137" s="314"/>
      <c r="M137" s="849"/>
      <c r="N137" s="849"/>
      <c r="O137" s="849"/>
      <c r="P137" s="849"/>
      <c r="Q137" s="108"/>
      <c r="R137" s="16"/>
      <c r="T137" s="457"/>
      <c r="U137" s="687"/>
      <c r="V137" s="687"/>
      <c r="W137" s="687"/>
      <c r="X137" s="687"/>
    </row>
    <row r="138" spans="1:24" ht="14.5" x14ac:dyDescent="0.35">
      <c r="A138" s="417"/>
      <c r="B138" s="1326" t="s">
        <v>615</v>
      </c>
      <c r="C138" s="300">
        <v>10000</v>
      </c>
      <c r="D138" s="300"/>
      <c r="E138" s="300"/>
      <c r="F138" s="300">
        <v>0</v>
      </c>
      <c r="G138" s="300"/>
      <c r="H138" s="300"/>
      <c r="I138" s="1327">
        <f t="shared" ref="I138" si="14">SUM(C138:H138)</f>
        <v>10000</v>
      </c>
      <c r="J138" s="689"/>
      <c r="K138" s="1306"/>
      <c r="L138" s="642"/>
      <c r="M138" s="642"/>
      <c r="N138" s="642"/>
      <c r="O138" s="642"/>
      <c r="P138" s="642"/>
      <c r="Q138" s="108"/>
      <c r="R138" s="16"/>
      <c r="T138" s="457"/>
      <c r="U138" s="687"/>
      <c r="V138" s="687"/>
      <c r="W138" s="687"/>
      <c r="X138" s="687"/>
    </row>
    <row r="139" spans="1:24" ht="14.5" customHeight="1" x14ac:dyDescent="0.35">
      <c r="A139" s="417"/>
      <c r="B139" s="1326" t="s">
        <v>616</v>
      </c>
      <c r="C139" s="300"/>
      <c r="D139" s="300"/>
      <c r="E139" s="300"/>
      <c r="F139" s="300">
        <v>100</v>
      </c>
      <c r="G139" s="300"/>
      <c r="H139" s="300"/>
      <c r="I139" s="1327">
        <f t="shared" ref="I139" si="15">SUM(C139:H139)</f>
        <v>100</v>
      </c>
      <c r="J139" s="689"/>
      <c r="K139" s="1307"/>
      <c r="L139" s="314"/>
      <c r="M139" s="642"/>
      <c r="N139" s="642"/>
      <c r="O139" s="642"/>
      <c r="P139" s="642"/>
      <c r="Q139" s="108"/>
      <c r="R139" s="16"/>
      <c r="T139" s="457"/>
      <c r="U139" s="687"/>
      <c r="V139" s="687"/>
      <c r="W139" s="687"/>
      <c r="X139" s="687"/>
    </row>
    <row r="140" spans="1:24" ht="15" customHeight="1" x14ac:dyDescent="0.35">
      <c r="A140" s="417"/>
      <c r="B140" s="1326" t="s">
        <v>617</v>
      </c>
      <c r="C140" s="300"/>
      <c r="D140" s="300"/>
      <c r="E140" s="300"/>
      <c r="F140" s="300">
        <v>1000</v>
      </c>
      <c r="G140" s="300"/>
      <c r="H140" s="300"/>
      <c r="I140" s="1327">
        <f t="shared" ref="I140:I145" si="16">SUM(C140:H140)</f>
        <v>1000</v>
      </c>
      <c r="J140" s="689"/>
      <c r="K140" s="1306"/>
      <c r="L140" s="1314"/>
      <c r="M140" s="1314"/>
      <c r="N140" s="1314"/>
      <c r="O140" s="1314"/>
      <c r="P140" s="1314"/>
      <c r="Q140" s="108"/>
      <c r="R140" s="16"/>
      <c r="T140" s="457"/>
      <c r="U140" s="687"/>
      <c r="V140" s="687"/>
      <c r="W140" s="687"/>
      <c r="X140" s="687"/>
    </row>
    <row r="141" spans="1:24" ht="14.5" customHeight="1" x14ac:dyDescent="0.35">
      <c r="A141" s="417"/>
      <c r="B141" s="1326" t="s">
        <v>618</v>
      </c>
      <c r="C141" s="300"/>
      <c r="D141" s="300"/>
      <c r="E141" s="300"/>
      <c r="F141" s="300">
        <v>100</v>
      </c>
      <c r="G141" s="300"/>
      <c r="H141" s="300"/>
      <c r="I141" s="1327">
        <f t="shared" si="16"/>
        <v>100</v>
      </c>
      <c r="J141" s="689"/>
      <c r="K141" s="16"/>
      <c r="L141" s="1314"/>
      <c r="M141" s="1314"/>
      <c r="N141" s="1314"/>
      <c r="O141" s="1314"/>
      <c r="P141" s="1314"/>
      <c r="Q141" s="16"/>
      <c r="R141" s="16"/>
      <c r="T141" s="457"/>
      <c r="U141" s="687"/>
      <c r="V141" s="648"/>
      <c r="W141" s="687"/>
      <c r="X141" s="687"/>
    </row>
    <row r="142" spans="1:24" ht="14.5" x14ac:dyDescent="0.35">
      <c r="A142" s="417"/>
      <c r="B142" s="1326" t="s">
        <v>619</v>
      </c>
      <c r="C142" s="300"/>
      <c r="D142" s="300"/>
      <c r="E142" s="300"/>
      <c r="F142" s="300">
        <v>0</v>
      </c>
      <c r="G142" s="300">
        <v>5000</v>
      </c>
      <c r="H142" s="300"/>
      <c r="I142" s="1327">
        <f t="shared" si="16"/>
        <v>5000</v>
      </c>
      <c r="J142" s="689"/>
      <c r="K142" s="1307"/>
      <c r="L142" s="314"/>
      <c r="M142" s="642"/>
      <c r="N142" s="642"/>
      <c r="O142" s="642"/>
      <c r="P142" s="642"/>
      <c r="Q142" s="108"/>
      <c r="R142" s="16"/>
      <c r="T142" s="457"/>
      <c r="U142" s="687"/>
      <c r="V142" s="648"/>
      <c r="W142" s="687"/>
      <c r="X142" s="687"/>
    </row>
    <row r="143" spans="1:24" ht="14.5" x14ac:dyDescent="0.35">
      <c r="A143" s="417"/>
      <c r="B143" s="1326" t="s">
        <v>620</v>
      </c>
      <c r="C143" s="300"/>
      <c r="D143" s="300"/>
      <c r="E143" s="300"/>
      <c r="F143" s="300">
        <v>0</v>
      </c>
      <c r="G143" s="300"/>
      <c r="H143" s="300">
        <v>20000</v>
      </c>
      <c r="I143" s="1327">
        <f t="shared" si="16"/>
        <v>20000</v>
      </c>
      <c r="J143" s="689"/>
      <c r="K143" s="1308"/>
      <c r="L143" s="642"/>
      <c r="M143" s="642"/>
      <c r="N143" s="642"/>
      <c r="O143" s="642"/>
      <c r="P143" s="642"/>
      <c r="Q143" s="108"/>
      <c r="R143" s="16"/>
      <c r="T143" s="457"/>
      <c r="U143" s="687"/>
      <c r="V143" s="50"/>
      <c r="X143" s="687"/>
    </row>
    <row r="144" spans="1:24" ht="14.5" x14ac:dyDescent="0.35">
      <c r="A144" s="417"/>
      <c r="B144" s="1326" t="s">
        <v>621</v>
      </c>
      <c r="C144" s="300"/>
      <c r="D144" s="300">
        <v>100000</v>
      </c>
      <c r="E144" s="300"/>
      <c r="F144" s="300"/>
      <c r="G144" s="300"/>
      <c r="H144" s="300"/>
      <c r="I144" s="1327">
        <f t="shared" si="16"/>
        <v>100000</v>
      </c>
      <c r="J144" s="689"/>
      <c r="K144" s="1343"/>
      <c r="L144" s="314"/>
      <c r="M144" s="642"/>
      <c r="N144" s="642"/>
      <c r="O144" s="642"/>
      <c r="P144" s="642"/>
      <c r="Q144" s="108"/>
      <c r="R144" s="16"/>
      <c r="T144" s="457"/>
      <c r="U144" s="687"/>
      <c r="V144" s="648"/>
      <c r="W144" s="687"/>
      <c r="X144" s="687"/>
    </row>
    <row r="145" spans="1:24" ht="14.5" x14ac:dyDescent="0.35">
      <c r="A145" s="417"/>
      <c r="B145" s="1326" t="s">
        <v>622</v>
      </c>
      <c r="C145" s="300">
        <v>10000</v>
      </c>
      <c r="D145" s="300"/>
      <c r="E145" s="300"/>
      <c r="F145" s="300"/>
      <c r="G145" s="300"/>
      <c r="H145" s="300"/>
      <c r="I145" s="1327">
        <f t="shared" si="16"/>
        <v>10000</v>
      </c>
      <c r="J145" s="689"/>
      <c r="K145" s="1308"/>
      <c r="L145" s="642"/>
      <c r="M145" s="642"/>
      <c r="N145" s="642"/>
      <c r="O145" s="642"/>
      <c r="P145" s="642"/>
      <c r="Q145" s="108"/>
      <c r="R145" s="16"/>
      <c r="T145" s="457"/>
      <c r="U145" s="687"/>
      <c r="V145" s="648"/>
      <c r="W145" s="687"/>
      <c r="X145" s="687"/>
    </row>
    <row r="146" spans="1:24" ht="15" thickBot="1" x14ac:dyDescent="0.4">
      <c r="A146" s="417"/>
      <c r="B146" s="1328" t="s">
        <v>623</v>
      </c>
      <c r="C146" s="1329">
        <f t="shared" ref="C146:I146" si="17">SUM(C134:C145)</f>
        <v>20000</v>
      </c>
      <c r="D146" s="1329">
        <f t="shared" si="17"/>
        <v>100000</v>
      </c>
      <c r="E146" s="1329">
        <f t="shared" si="17"/>
        <v>0</v>
      </c>
      <c r="F146" s="1329">
        <f t="shared" si="17"/>
        <v>25200</v>
      </c>
      <c r="G146" s="1329">
        <f t="shared" si="17"/>
        <v>5000</v>
      </c>
      <c r="H146" s="1329">
        <f t="shared" si="17"/>
        <v>20000</v>
      </c>
      <c r="I146" s="1330">
        <f t="shared" si="17"/>
        <v>170200</v>
      </c>
      <c r="J146" s="689"/>
      <c r="K146" s="1343"/>
      <c r="L146" s="314"/>
      <c r="M146" s="642"/>
      <c r="N146" s="642"/>
      <c r="O146" s="642"/>
      <c r="P146" s="642"/>
      <c r="Q146" s="108"/>
      <c r="R146" s="16"/>
      <c r="T146" s="457"/>
      <c r="U146" s="687"/>
      <c r="V146" s="110"/>
      <c r="W146" s="32"/>
      <c r="X146" s="687"/>
    </row>
    <row r="147" spans="1:24" ht="14.5" x14ac:dyDescent="0.35">
      <c r="A147" s="417"/>
      <c r="B147" s="180"/>
      <c r="C147" s="181"/>
      <c r="D147" s="181"/>
      <c r="E147" s="181"/>
      <c r="F147" s="181"/>
      <c r="G147" s="181"/>
      <c r="H147" s="181"/>
      <c r="I147" s="689"/>
      <c r="J147" s="689"/>
      <c r="K147" s="689"/>
      <c r="L147" s="689"/>
      <c r="M147" s="689"/>
      <c r="N147" s="689"/>
      <c r="O147" s="689"/>
      <c r="P147" s="689"/>
      <c r="Q147" s="689"/>
      <c r="R147" s="687"/>
      <c r="S147" s="687"/>
    </row>
    <row r="148" spans="1:24" ht="15" customHeight="1" thickBot="1" x14ac:dyDescent="0.45">
      <c r="A148" s="48"/>
      <c r="B148" s="98"/>
      <c r="C148" s="98"/>
      <c r="D148" s="98"/>
      <c r="E148" s="98"/>
      <c r="F148" s="98"/>
      <c r="G148" s="98"/>
      <c r="H148" s="98"/>
      <c r="I148" s="98"/>
      <c r="J148" s="98"/>
      <c r="K148" s="98"/>
      <c r="L148" s="98"/>
      <c r="M148" s="98"/>
      <c r="N148" s="98"/>
      <c r="O148" s="98"/>
      <c r="P148" s="98"/>
      <c r="Q148" s="98"/>
    </row>
    <row r="149" spans="1:24" ht="15.75" customHeight="1" thickBot="1" x14ac:dyDescent="0.35">
      <c r="A149" s="23"/>
      <c r="B149" s="402" t="str">
        <f>(brew2_abb&amp;" Recycling - GHG Emissions from recycled material")</f>
        <v>2ND Recycling - GHG Emissions from recycled material</v>
      </c>
      <c r="C149" s="403"/>
      <c r="D149" s="403"/>
      <c r="E149" s="403"/>
      <c r="F149" s="403"/>
      <c r="G149" s="404"/>
      <c r="H149" s="405"/>
      <c r="I149" s="406"/>
      <c r="J149" s="35"/>
      <c r="K149" s="39"/>
      <c r="L149" s="40"/>
      <c r="M149" s="34"/>
      <c r="N149" s="35"/>
      <c r="O149" s="35"/>
      <c r="P149" s="36"/>
      <c r="Q149" s="98"/>
    </row>
    <row r="150" spans="1:24" ht="15.75" customHeight="1" x14ac:dyDescent="0.35">
      <c r="A150" s="23"/>
      <c r="B150" s="411" t="s">
        <v>624</v>
      </c>
      <c r="C150" s="299"/>
      <c r="D150" s="299"/>
      <c r="E150" s="299"/>
      <c r="F150" s="299"/>
      <c r="G150" s="410"/>
      <c r="H150" s="16"/>
      <c r="I150" s="16"/>
      <c r="J150" s="98"/>
      <c r="K150" s="371"/>
      <c r="L150" s="19"/>
      <c r="M150" s="17"/>
      <c r="N150" s="98"/>
      <c r="O150" s="98"/>
      <c r="P150" s="24"/>
      <c r="Q150" s="98"/>
    </row>
    <row r="151" spans="1:24" ht="14.5" x14ac:dyDescent="0.25">
      <c r="A151" s="23"/>
      <c r="B151" s="23"/>
      <c r="C151" s="98"/>
      <c r="D151" s="98"/>
      <c r="E151" s="17"/>
      <c r="F151" s="17"/>
      <c r="G151" s="1319" t="s">
        <v>625</v>
      </c>
      <c r="H151" s="98"/>
      <c r="I151" s="98"/>
      <c r="J151" s="98"/>
      <c r="K151" s="98"/>
      <c r="L151" s="98"/>
      <c r="M151" s="17"/>
      <c r="N151" s="98"/>
      <c r="O151" s="98"/>
      <c r="P151" s="24"/>
      <c r="Q151" s="98"/>
    </row>
    <row r="152" spans="1:24" ht="13" x14ac:dyDescent="0.25">
      <c r="A152" s="23"/>
      <c r="B152" s="121"/>
      <c r="C152" s="236" t="s">
        <v>626</v>
      </c>
      <c r="D152" s="113"/>
      <c r="E152" s="116"/>
      <c r="F152" s="82"/>
      <c r="G152" s="207" t="s">
        <v>627</v>
      </c>
      <c r="H152" s="82"/>
      <c r="I152" s="82"/>
      <c r="J152" s="82"/>
      <c r="K152" s="82"/>
      <c r="L152" s="98"/>
      <c r="M152" s="236" t="s">
        <v>628</v>
      </c>
      <c r="N152" s="82"/>
      <c r="O152" s="82"/>
      <c r="P152" s="24"/>
      <c r="Q152" s="98"/>
    </row>
    <row r="153" spans="1:24" ht="14.5" x14ac:dyDescent="0.35">
      <c r="A153" s="23"/>
      <c r="B153" s="111"/>
      <c r="C153" s="1315">
        <f>F136</f>
        <v>20000</v>
      </c>
      <c r="D153" s="693" t="s">
        <v>629</v>
      </c>
      <c r="E153" s="117"/>
      <c r="F153" s="74"/>
      <c r="G153" s="694" t="s">
        <v>613</v>
      </c>
      <c r="H153" s="1574">
        <v>0.93</v>
      </c>
      <c r="I153" s="321" t="s">
        <v>630</v>
      </c>
      <c r="J153" s="74"/>
      <c r="K153" s="82"/>
      <c r="L153" s="98"/>
      <c r="M153" s="319">
        <f>C153*(1-H153)</f>
        <v>1399.9999999999991</v>
      </c>
      <c r="N153" s="318" t="s">
        <v>629</v>
      </c>
      <c r="O153" s="82"/>
      <c r="P153" s="24"/>
      <c r="Q153" s="98"/>
    </row>
    <row r="154" spans="1:24" ht="14.5" x14ac:dyDescent="0.25">
      <c r="A154" s="23"/>
      <c r="B154" s="111"/>
      <c r="C154" s="1315">
        <f>F135</f>
        <v>2000</v>
      </c>
      <c r="D154" s="693" t="s">
        <v>631</v>
      </c>
      <c r="E154" s="117"/>
      <c r="F154" s="74"/>
      <c r="G154" s="694" t="s">
        <v>632</v>
      </c>
      <c r="H154" s="1574">
        <v>0.88</v>
      </c>
      <c r="I154" s="317" t="s">
        <v>633</v>
      </c>
      <c r="J154" s="74"/>
      <c r="K154" s="316"/>
      <c r="L154" s="98"/>
      <c r="M154" s="319">
        <f t="shared" ref="M154:M160" si="18">C154*(1-H154)</f>
        <v>240</v>
      </c>
      <c r="N154" s="318" t="s">
        <v>631</v>
      </c>
      <c r="O154" s="82"/>
      <c r="P154" s="24"/>
      <c r="Q154" s="98"/>
    </row>
    <row r="155" spans="1:24" ht="14.5" x14ac:dyDescent="0.25">
      <c r="A155" s="23"/>
      <c r="B155" s="111"/>
      <c r="C155" s="319">
        <f>I145</f>
        <v>10000</v>
      </c>
      <c r="D155" s="693" t="s">
        <v>634</v>
      </c>
      <c r="E155" s="117"/>
      <c r="F155" s="74"/>
      <c r="G155" s="694" t="s">
        <v>622</v>
      </c>
      <c r="H155" s="1574">
        <v>0.8</v>
      </c>
      <c r="I155" s="1320" t="s">
        <v>635</v>
      </c>
      <c r="J155" s="74"/>
      <c r="K155" s="74"/>
      <c r="L155" s="98"/>
      <c r="M155" s="319">
        <f t="shared" si="18"/>
        <v>1999.9999999999995</v>
      </c>
      <c r="N155" s="318" t="s">
        <v>634</v>
      </c>
      <c r="O155" s="82"/>
      <c r="P155" s="24"/>
      <c r="Q155" s="98"/>
    </row>
    <row r="156" spans="1:24" ht="14.5" x14ac:dyDescent="0.25">
      <c r="A156" s="23"/>
      <c r="B156" s="315" t="s">
        <v>636</v>
      </c>
      <c r="C156" s="1315">
        <v>0</v>
      </c>
      <c r="D156" s="693" t="s">
        <v>637</v>
      </c>
      <c r="E156" s="117"/>
      <c r="F156" s="74"/>
      <c r="G156" s="694" t="s">
        <v>621</v>
      </c>
      <c r="H156" s="1574">
        <v>0.8</v>
      </c>
      <c r="I156" s="317" t="s">
        <v>638</v>
      </c>
      <c r="J156" s="73"/>
      <c r="K156" s="82"/>
      <c r="L156" s="98"/>
      <c r="M156" s="319">
        <f t="shared" si="18"/>
        <v>0</v>
      </c>
      <c r="N156" s="318" t="s">
        <v>637</v>
      </c>
      <c r="O156" s="82"/>
      <c r="P156" s="24"/>
      <c r="Q156" s="98"/>
    </row>
    <row r="157" spans="1:24" ht="14.5" x14ac:dyDescent="0.25">
      <c r="A157" s="23"/>
      <c r="B157" s="111"/>
      <c r="C157" s="1315">
        <f>F137+F141</f>
        <v>1100</v>
      </c>
      <c r="D157" s="693" t="s">
        <v>639</v>
      </c>
      <c r="E157" s="117"/>
      <c r="F157" s="74"/>
      <c r="G157" s="320" t="s">
        <v>614</v>
      </c>
      <c r="H157" s="1574">
        <v>0.78</v>
      </c>
      <c r="I157" s="317" t="s">
        <v>640</v>
      </c>
      <c r="J157" s="73"/>
      <c r="K157" s="74"/>
      <c r="L157" s="98"/>
      <c r="M157" s="319">
        <f t="shared" si="18"/>
        <v>241.99999999999997</v>
      </c>
      <c r="N157" s="693" t="s">
        <v>639</v>
      </c>
      <c r="O157" s="82"/>
      <c r="P157" s="24"/>
      <c r="Q157" s="98"/>
    </row>
    <row r="158" spans="1:24" ht="14.5" x14ac:dyDescent="0.25">
      <c r="A158" s="23"/>
      <c r="B158" s="111"/>
      <c r="C158" s="1316">
        <f>F134</f>
        <v>1000</v>
      </c>
      <c r="D158" s="693" t="s">
        <v>641</v>
      </c>
      <c r="E158" s="117"/>
      <c r="F158" s="74"/>
      <c r="G158" s="694" t="s">
        <v>158</v>
      </c>
      <c r="H158" s="1574">
        <v>0.93</v>
      </c>
      <c r="I158" s="1320" t="s">
        <v>642</v>
      </c>
      <c r="J158" s="73"/>
      <c r="K158" s="74"/>
      <c r="L158" s="98"/>
      <c r="M158" s="319">
        <f t="shared" si="18"/>
        <v>69.999999999999957</v>
      </c>
      <c r="N158" s="318" t="s">
        <v>641</v>
      </c>
      <c r="O158" s="82"/>
      <c r="P158" s="24"/>
      <c r="Q158" s="98"/>
    </row>
    <row r="159" spans="1:24" ht="14.5" x14ac:dyDescent="0.25">
      <c r="A159" s="23"/>
      <c r="B159" s="111"/>
      <c r="C159" s="1316">
        <f>F140</f>
        <v>1000</v>
      </c>
      <c r="D159" s="693" t="s">
        <v>643</v>
      </c>
      <c r="E159" s="117"/>
      <c r="F159" s="74"/>
      <c r="G159" s="694" t="s">
        <v>644</v>
      </c>
      <c r="H159" s="1574">
        <v>0.98</v>
      </c>
      <c r="I159" s="317" t="s">
        <v>645</v>
      </c>
      <c r="J159" s="73"/>
      <c r="K159" s="82"/>
      <c r="L159" s="98"/>
      <c r="M159" s="319">
        <f t="shared" si="18"/>
        <v>20.000000000000018</v>
      </c>
      <c r="N159" s="318" t="s">
        <v>643</v>
      </c>
      <c r="O159" s="82"/>
      <c r="P159" s="24"/>
      <c r="Q159" s="98"/>
    </row>
    <row r="160" spans="1:24" ht="14.5" x14ac:dyDescent="0.25">
      <c r="A160" s="23"/>
      <c r="B160" s="111"/>
      <c r="C160" s="1317">
        <f>F139</f>
        <v>100</v>
      </c>
      <c r="D160" s="130" t="s">
        <v>646</v>
      </c>
      <c r="E160" s="131"/>
      <c r="F160" s="74"/>
      <c r="G160" s="694" t="s">
        <v>616</v>
      </c>
      <c r="H160" s="1575">
        <v>1</v>
      </c>
      <c r="I160" s="1320" t="s">
        <v>647</v>
      </c>
      <c r="J160" s="73"/>
      <c r="K160" s="82"/>
      <c r="L160" s="98"/>
      <c r="M160" s="319">
        <f t="shared" si="18"/>
        <v>0</v>
      </c>
      <c r="N160" s="318" t="s">
        <v>646</v>
      </c>
      <c r="O160" s="82"/>
      <c r="P160" s="24"/>
      <c r="Q160" s="98"/>
    </row>
    <row r="161" spans="1:18" ht="14" x14ac:dyDescent="0.25">
      <c r="A161" s="23"/>
      <c r="B161" s="111"/>
      <c r="C161" s="1318">
        <f>SUM(C153:C160)</f>
        <v>35200</v>
      </c>
      <c r="D161" s="133" t="s">
        <v>648</v>
      </c>
      <c r="E161" s="74"/>
      <c r="F161" s="74"/>
      <c r="G161" s="74"/>
      <c r="H161" s="82"/>
      <c r="I161" s="82"/>
      <c r="J161" s="82"/>
      <c r="K161" s="98"/>
      <c r="L161" s="98"/>
      <c r="M161" s="374">
        <f>SUM(M153:M160)</f>
        <v>3971.9999999999986</v>
      </c>
      <c r="N161" s="375" t="s">
        <v>649</v>
      </c>
      <c r="O161" s="376"/>
      <c r="P161" s="112"/>
      <c r="Q161" s="98"/>
      <c r="R161" s="98"/>
    </row>
    <row r="162" spans="1:18" ht="14" x14ac:dyDescent="0.25">
      <c r="A162" s="23"/>
      <c r="B162" s="111"/>
      <c r="C162" s="132"/>
      <c r="D162" s="133"/>
      <c r="E162" s="74"/>
      <c r="F162" s="74"/>
      <c r="G162" s="74"/>
      <c r="H162" s="82"/>
      <c r="I162" s="82"/>
      <c r="J162" s="82"/>
      <c r="K162" s="98"/>
      <c r="L162" s="98"/>
      <c r="M162" s="132"/>
      <c r="N162" s="133"/>
      <c r="O162" s="74"/>
      <c r="P162" s="112"/>
      <c r="Q162" s="98"/>
      <c r="R162" s="98"/>
    </row>
    <row r="163" spans="1:18" x14ac:dyDescent="0.25">
      <c r="A163" s="23"/>
      <c r="B163" s="111"/>
      <c r="C163" s="82"/>
      <c r="D163" s="82"/>
      <c r="E163" s="74"/>
      <c r="F163" s="74"/>
      <c r="G163" s="74"/>
      <c r="H163" s="82"/>
      <c r="I163" s="82"/>
      <c r="J163" s="82"/>
      <c r="K163" s="82"/>
      <c r="L163" s="82"/>
      <c r="M163" s="82"/>
      <c r="N163" s="82"/>
      <c r="O163" s="82"/>
      <c r="P163" s="112"/>
      <c r="Q163" s="98"/>
      <c r="R163" s="98"/>
    </row>
    <row r="164" spans="1:18" ht="13" x14ac:dyDescent="0.25">
      <c r="A164" s="23"/>
      <c r="B164" s="111"/>
      <c r="C164" s="82"/>
      <c r="D164" s="82"/>
      <c r="E164" s="74"/>
      <c r="F164" s="74"/>
      <c r="G164" s="322" t="s">
        <v>650</v>
      </c>
      <c r="H164" s="82"/>
      <c r="I164" s="82"/>
      <c r="J164" s="82"/>
      <c r="K164" s="82"/>
      <c r="L164" s="82"/>
      <c r="M164" s="1559" t="s">
        <v>651</v>
      </c>
      <c r="N164" s="1560"/>
      <c r="O164" s="1561"/>
      <c r="P164" s="24"/>
      <c r="Q164" s="98"/>
      <c r="R164" s="98"/>
    </row>
    <row r="165" spans="1:18" ht="13" x14ac:dyDescent="0.25">
      <c r="A165" s="23"/>
      <c r="B165" s="111"/>
      <c r="C165" s="236" t="s">
        <v>652</v>
      </c>
      <c r="D165" s="82"/>
      <c r="E165" s="74"/>
      <c r="F165" s="74"/>
      <c r="G165" s="236" t="s">
        <v>653</v>
      </c>
      <c r="H165" s="98"/>
      <c r="I165" s="82"/>
      <c r="J165" s="82"/>
      <c r="K165" s="82"/>
      <c r="L165" s="82"/>
      <c r="M165" s="1562" t="s">
        <v>654</v>
      </c>
      <c r="N165" s="1563"/>
      <c r="O165" s="1564"/>
      <c r="P165" s="24"/>
      <c r="Q165" s="98"/>
      <c r="R165" s="98"/>
    </row>
    <row r="166" spans="1:18" ht="14.5" x14ac:dyDescent="0.35">
      <c r="A166" s="23"/>
      <c r="B166" s="111"/>
      <c r="C166" s="319">
        <f t="shared" ref="C166:C173" si="19">C153-M153</f>
        <v>18600</v>
      </c>
      <c r="D166" s="318" t="s">
        <v>629</v>
      </c>
      <c r="E166" s="317"/>
      <c r="F166" s="321"/>
      <c r="G166" s="320" t="s">
        <v>613</v>
      </c>
      <c r="H166" s="1568">
        <v>0.06</v>
      </c>
      <c r="I166" s="1320" t="s">
        <v>655</v>
      </c>
      <c r="J166" s="231"/>
      <c r="K166" s="98"/>
      <c r="L166" s="321"/>
      <c r="M166" s="1565" t="s">
        <v>613</v>
      </c>
      <c r="N166" s="1566">
        <f>C166*'Brewery-Control Data'!$L$38*'Brewery-Control Data'!$L$39*H166*'Brewery-Control Data'!$L$41</f>
        <v>506.20923000000005</v>
      </c>
      <c r="O166" s="1567" t="s">
        <v>177</v>
      </c>
      <c r="P166" s="24"/>
      <c r="Q166" s="98"/>
      <c r="R166" s="98"/>
    </row>
    <row r="167" spans="1:18" ht="14.5" x14ac:dyDescent="0.35">
      <c r="A167" s="23"/>
      <c r="B167" s="122"/>
      <c r="C167" s="319">
        <f t="shared" si="19"/>
        <v>1760</v>
      </c>
      <c r="D167" s="318" t="s">
        <v>631</v>
      </c>
      <c r="E167" s="317"/>
      <c r="F167" s="321"/>
      <c r="G167" s="320" t="s">
        <v>632</v>
      </c>
      <c r="H167" s="1568">
        <v>0.02</v>
      </c>
      <c r="I167" s="1320" t="s">
        <v>656</v>
      </c>
      <c r="J167" s="231"/>
      <c r="K167" s="98"/>
      <c r="L167" s="321"/>
      <c r="M167" s="1565" t="s">
        <v>632</v>
      </c>
      <c r="N167" s="1566">
        <f>C167*'Brewery-Control Data'!$L$38*'Brewery-Control Data'!$L$39*H167*'Brewery-Control Data'!$L$41</f>
        <v>15.966456000000001</v>
      </c>
      <c r="O167" s="1567" t="s">
        <v>177</v>
      </c>
      <c r="P167" s="24"/>
      <c r="Q167" s="98"/>
      <c r="R167" s="98"/>
    </row>
    <row r="168" spans="1:18" ht="14.5" x14ac:dyDescent="0.35">
      <c r="A168" s="23"/>
      <c r="B168" s="122"/>
      <c r="C168" s="319">
        <f t="shared" si="19"/>
        <v>8000</v>
      </c>
      <c r="D168" s="318" t="s">
        <v>634</v>
      </c>
      <c r="E168" s="317"/>
      <c r="F168" s="321"/>
      <c r="G168" s="320" t="s">
        <v>622</v>
      </c>
      <c r="H168" s="1568">
        <v>0.02</v>
      </c>
      <c r="I168" s="1320" t="s">
        <v>657</v>
      </c>
      <c r="J168" s="231"/>
      <c r="K168" s="98"/>
      <c r="L168" s="321"/>
      <c r="M168" s="1565" t="s">
        <v>622</v>
      </c>
      <c r="N168" s="1566">
        <f>C168*'Brewery-Control Data'!$L$38*'Brewery-Control Data'!$L$39*H168*'Brewery-Control Data'!$L$41</f>
        <v>72.57480000000001</v>
      </c>
      <c r="O168" s="1567" t="s">
        <v>177</v>
      </c>
      <c r="P168" s="24"/>
      <c r="Q168" s="98"/>
      <c r="R168" s="98"/>
    </row>
    <row r="169" spans="1:18" ht="14.5" x14ac:dyDescent="0.35">
      <c r="A169" s="23"/>
      <c r="B169" s="122"/>
      <c r="C169" s="319">
        <f t="shared" si="19"/>
        <v>0</v>
      </c>
      <c r="D169" s="318" t="s">
        <v>637</v>
      </c>
      <c r="E169" s="231"/>
      <c r="F169" s="321"/>
      <c r="G169" s="320" t="s">
        <v>621</v>
      </c>
      <c r="H169" s="1568">
        <v>0.03</v>
      </c>
      <c r="I169" s="1320" t="s">
        <v>658</v>
      </c>
      <c r="J169" s="231"/>
      <c r="K169" s="98"/>
      <c r="L169" s="321"/>
      <c r="M169" s="1565" t="s">
        <v>621</v>
      </c>
      <c r="N169" s="1566">
        <f>C169*'Brewery-Control Data'!$L$38*'Brewery-Control Data'!$L$39*H169*'Brewery-Control Data'!$L$41</f>
        <v>0</v>
      </c>
      <c r="O169" s="1567" t="s">
        <v>177</v>
      </c>
      <c r="P169" s="24"/>
      <c r="Q169" s="98"/>
      <c r="R169" s="98"/>
    </row>
    <row r="170" spans="1:18" ht="14.5" x14ac:dyDescent="0.35">
      <c r="A170" s="23"/>
      <c r="B170" s="122"/>
      <c r="C170" s="319">
        <f t="shared" si="19"/>
        <v>858</v>
      </c>
      <c r="D170" s="693" t="s">
        <v>639</v>
      </c>
      <c r="E170" s="231"/>
      <c r="F170" s="321"/>
      <c r="G170" s="320" t="s">
        <v>614</v>
      </c>
      <c r="H170" s="1568">
        <v>0.01</v>
      </c>
      <c r="I170" s="1320" t="s">
        <v>659</v>
      </c>
      <c r="J170" s="231"/>
      <c r="K170" s="98"/>
      <c r="L170" s="321"/>
      <c r="M170" s="1565" t="s">
        <v>660</v>
      </c>
      <c r="N170" s="1566">
        <f>C170*'Brewery-Control Data'!$L$38*'Brewery-Control Data'!$L$39*H170*'Brewery-Control Data'!$L$41</f>
        <v>3.8918236500000001</v>
      </c>
      <c r="O170" s="1567" t="s">
        <v>177</v>
      </c>
      <c r="P170" s="24"/>
      <c r="Q170" s="98"/>
      <c r="R170" s="98"/>
    </row>
    <row r="171" spans="1:18" ht="14.5" x14ac:dyDescent="0.35">
      <c r="A171" s="23"/>
      <c r="B171" s="122"/>
      <c r="C171" s="319">
        <f t="shared" si="19"/>
        <v>930</v>
      </c>
      <c r="D171" s="318" t="s">
        <v>641</v>
      </c>
      <c r="E171" s="231"/>
      <c r="F171" s="321"/>
      <c r="G171" s="320" t="s">
        <v>158</v>
      </c>
      <c r="H171" s="1568">
        <v>7.0000000000000007E-2</v>
      </c>
      <c r="I171" s="1320" t="s">
        <v>661</v>
      </c>
      <c r="J171" s="231"/>
      <c r="K171" s="98"/>
      <c r="L171" s="321"/>
      <c r="M171" s="1565" t="s">
        <v>158</v>
      </c>
      <c r="N171" s="1566">
        <f>C171*'Brewery-Control Data'!$L$38*'Brewery-Control Data'!$L$39*H171*'Brewery-Control Data'!$L$41</f>
        <v>29.528871750000004</v>
      </c>
      <c r="O171" s="1567" t="s">
        <v>177</v>
      </c>
      <c r="P171" s="24"/>
      <c r="Q171" s="98"/>
      <c r="R171" s="98"/>
    </row>
    <row r="172" spans="1:18" ht="14.5" x14ac:dyDescent="0.35">
      <c r="A172" s="23"/>
      <c r="B172" s="122"/>
      <c r="C172" s="319">
        <f t="shared" si="19"/>
        <v>980</v>
      </c>
      <c r="D172" s="318" t="s">
        <v>643</v>
      </c>
      <c r="E172" s="231"/>
      <c r="F172" s="321"/>
      <c r="G172" s="320" t="s">
        <v>644</v>
      </c>
      <c r="H172" s="1568">
        <v>0.3</v>
      </c>
      <c r="I172" s="1320" t="s">
        <v>661</v>
      </c>
      <c r="J172" s="231"/>
      <c r="K172" s="98"/>
      <c r="L172" s="321"/>
      <c r="M172" s="1565" t="s">
        <v>644</v>
      </c>
      <c r="N172" s="1566">
        <f>C172*'Brewery-Control Data'!$L$38*'Brewery-Control Data'!$L$39*H172*'Brewery-Control Data'!$L$41</f>
        <v>133.35619500000001</v>
      </c>
      <c r="O172" s="1567" t="s">
        <v>177</v>
      </c>
      <c r="P172" s="24"/>
      <c r="Q172" s="98"/>
      <c r="R172" s="98"/>
    </row>
    <row r="173" spans="1:18" ht="15" thickBot="1" x14ac:dyDescent="0.4">
      <c r="A173" s="23"/>
      <c r="B173" s="122"/>
      <c r="C173" s="319">
        <f t="shared" si="19"/>
        <v>100</v>
      </c>
      <c r="D173" s="318" t="s">
        <v>646</v>
      </c>
      <c r="E173" s="231"/>
      <c r="F173" s="321"/>
      <c r="G173" s="320" t="s">
        <v>616</v>
      </c>
      <c r="H173" s="1568">
        <v>7.0000000000000007E-2</v>
      </c>
      <c r="I173" s="1320" t="s">
        <v>662</v>
      </c>
      <c r="J173" s="231"/>
      <c r="K173" s="98"/>
      <c r="L173" s="321"/>
      <c r="M173" s="1565" t="s">
        <v>616</v>
      </c>
      <c r="N173" s="1566">
        <f>C173*'Brewery-Control Data'!$L$38*'Brewery-Control Data'!$L$39*H173*'Brewery-Control Data'!$L$41</f>
        <v>3.1751475000000009</v>
      </c>
      <c r="O173" s="1567" t="s">
        <v>177</v>
      </c>
      <c r="P173" s="24"/>
      <c r="Q173" s="98"/>
    </row>
    <row r="174" spans="1:18" ht="15" thickBot="1" x14ac:dyDescent="0.3">
      <c r="A174" s="23"/>
      <c r="B174" s="122"/>
      <c r="C174" s="98"/>
      <c r="D174" s="98"/>
      <c r="E174" s="98"/>
      <c r="F174" s="98"/>
      <c r="G174" s="82"/>
      <c r="H174" s="82"/>
      <c r="I174" s="82"/>
      <c r="J174" s="82"/>
      <c r="K174" s="396"/>
      <c r="L174" s="1865" t="s">
        <v>663</v>
      </c>
      <c r="M174" s="1866"/>
      <c r="N174" s="1321">
        <f>SUM(N166:N173)</f>
        <v>764.70252390000007</v>
      </c>
      <c r="O174" s="613" t="s">
        <v>177</v>
      </c>
      <c r="P174" s="24"/>
      <c r="Q174" s="98"/>
    </row>
    <row r="175" spans="1:18" ht="15" thickBot="1" x14ac:dyDescent="0.4">
      <c r="A175" s="23"/>
      <c r="B175" s="111"/>
      <c r="C175" s="98"/>
      <c r="D175" s="98"/>
      <c r="E175" s="98"/>
      <c r="F175" s="98"/>
      <c r="G175" s="82"/>
      <c r="H175" s="98"/>
      <c r="I175" s="98"/>
      <c r="J175" s="98"/>
      <c r="K175" s="98"/>
      <c r="L175" s="1867" t="s">
        <v>276</v>
      </c>
      <c r="M175" s="1868"/>
      <c r="N175" s="1322">
        <f>'Brewery-Control Data'!$B$10</f>
        <v>123215.153565</v>
      </c>
      <c r="O175" s="611" t="s">
        <v>125</v>
      </c>
      <c r="P175" s="24"/>
      <c r="Q175" s="98"/>
    </row>
    <row r="176" spans="1:18" ht="15" thickBot="1" x14ac:dyDescent="0.4">
      <c r="A176" s="23"/>
      <c r="B176" s="111"/>
      <c r="C176" s="98"/>
      <c r="D176" s="98"/>
      <c r="E176" s="98"/>
      <c r="F176" s="98"/>
      <c r="G176" s="82"/>
      <c r="H176" s="98"/>
      <c r="I176" s="98"/>
      <c r="J176" s="98"/>
      <c r="K176" s="98"/>
      <c r="L176" s="1869" t="s">
        <v>664</v>
      </c>
      <c r="M176" s="1870"/>
      <c r="N176" s="1323">
        <f>N174/N175</f>
        <v>6.206237640215208E-3</v>
      </c>
      <c r="O176" s="421" t="s">
        <v>665</v>
      </c>
      <c r="P176" s="24"/>
      <c r="Q176" s="98"/>
    </row>
    <row r="177" spans="1:23" ht="13" x14ac:dyDescent="0.25">
      <c r="A177" s="23"/>
      <c r="B177" s="111"/>
      <c r="C177" s="98"/>
      <c r="D177" s="98"/>
      <c r="E177" s="98"/>
      <c r="F177" s="98"/>
      <c r="G177" s="82"/>
      <c r="H177" s="98"/>
      <c r="I177" s="98"/>
      <c r="J177" s="98"/>
      <c r="K177" s="98"/>
      <c r="L177" s="82"/>
      <c r="M177" s="114"/>
      <c r="N177" s="115"/>
      <c r="O177" s="97"/>
      <c r="P177" s="24"/>
      <c r="Q177" s="98"/>
    </row>
    <row r="178" spans="1:23" ht="14.5" x14ac:dyDescent="0.35">
      <c r="A178" s="23"/>
      <c r="B178" s="23"/>
      <c r="C178" s="321"/>
      <c r="D178" s="321"/>
      <c r="E178" s="321"/>
      <c r="F178" s="321"/>
      <c r="G178" s="392"/>
      <c r="H178" s="321"/>
      <c r="I178" s="321"/>
      <c r="J178" s="321"/>
      <c r="K178" s="321"/>
      <c r="L178" s="1713"/>
      <c r="M178" s="1713"/>
      <c r="N178" s="612"/>
      <c r="O178" s="400"/>
      <c r="P178" s="24"/>
      <c r="Q178" s="98"/>
    </row>
    <row r="179" spans="1:23" ht="15" thickBot="1" x14ac:dyDescent="0.4">
      <c r="A179" s="23"/>
      <c r="B179" s="1871" t="s">
        <v>695</v>
      </c>
      <c r="C179" s="1872"/>
      <c r="D179" s="1872"/>
      <c r="E179" s="1872"/>
      <c r="F179" s="1872"/>
      <c r="G179" s="392"/>
      <c r="H179" s="321"/>
      <c r="I179" s="321"/>
      <c r="J179" s="321"/>
      <c r="K179" s="321"/>
      <c r="L179" s="321"/>
      <c r="M179" s="392"/>
      <c r="N179" s="321"/>
      <c r="O179" s="321"/>
      <c r="P179" s="24"/>
      <c r="Q179" s="98"/>
    </row>
    <row r="180" spans="1:23" ht="15" thickTop="1" x14ac:dyDescent="0.35">
      <c r="A180" s="23"/>
      <c r="B180" s="380" t="s">
        <v>666</v>
      </c>
      <c r="C180" s="226"/>
      <c r="D180" s="226"/>
      <c r="E180" s="1331"/>
      <c r="F180" s="1331"/>
      <c r="G180" s="392"/>
      <c r="H180" s="321"/>
      <c r="I180" s="321"/>
      <c r="J180" s="321"/>
      <c r="K180" s="321"/>
      <c r="L180" s="321"/>
      <c r="M180" s="392"/>
      <c r="N180" s="321"/>
      <c r="O180" s="321"/>
      <c r="P180" s="24"/>
      <c r="Q180" s="98"/>
    </row>
    <row r="181" spans="1:23" ht="14.5" x14ac:dyDescent="0.35">
      <c r="A181" s="23"/>
      <c r="B181" s="380" t="s">
        <v>696</v>
      </c>
      <c r="C181" s="226"/>
      <c r="D181" s="226"/>
      <c r="E181" s="1331"/>
      <c r="F181" s="1331"/>
      <c r="G181" s="392"/>
      <c r="H181" s="321"/>
      <c r="I181" s="321"/>
      <c r="J181" s="321"/>
      <c r="K181" s="321"/>
      <c r="L181" s="321"/>
      <c r="M181" s="392"/>
      <c r="N181" s="321"/>
      <c r="O181" s="321"/>
      <c r="P181" s="24"/>
      <c r="Q181" s="98"/>
    </row>
    <row r="182" spans="1:23" ht="14.5" x14ac:dyDescent="0.35">
      <c r="A182" s="23"/>
      <c r="B182" s="377" t="s">
        <v>668</v>
      </c>
      <c r="C182" s="226"/>
      <c r="D182" s="226"/>
      <c r="E182" s="1331"/>
      <c r="F182" s="1331"/>
      <c r="G182" s="392"/>
      <c r="H182" s="321"/>
      <c r="I182" s="321"/>
      <c r="J182" s="321"/>
      <c r="K182" s="321"/>
      <c r="L182" s="321"/>
      <c r="M182" s="392"/>
      <c r="N182" s="321"/>
      <c r="O182" s="321"/>
      <c r="P182" s="24"/>
      <c r="Q182" s="98"/>
    </row>
    <row r="183" spans="1:23" ht="15" thickBot="1" x14ac:dyDescent="0.4">
      <c r="A183" s="23"/>
      <c r="B183" s="384"/>
      <c r="C183" s="385"/>
      <c r="D183" s="385"/>
      <c r="E183" s="385"/>
      <c r="F183" s="385"/>
      <c r="G183" s="385"/>
      <c r="H183" s="385"/>
      <c r="I183" s="385"/>
      <c r="J183" s="385"/>
      <c r="K183" s="385"/>
      <c r="L183" s="385"/>
      <c r="M183" s="386"/>
      <c r="N183" s="387"/>
      <c r="O183" s="143"/>
      <c r="P183" s="26"/>
      <c r="Q183" s="98"/>
    </row>
    <row r="184" spans="1:23" x14ac:dyDescent="0.25">
      <c r="A184" s="23"/>
      <c r="B184" s="98"/>
      <c r="C184" s="98"/>
      <c r="D184" s="98"/>
      <c r="E184" s="98"/>
      <c r="F184" s="98"/>
      <c r="G184" s="98"/>
      <c r="H184" s="98"/>
      <c r="I184" s="98"/>
      <c r="J184" s="98"/>
      <c r="K184" s="98"/>
      <c r="L184" s="98"/>
      <c r="M184" s="98"/>
      <c r="N184" s="98"/>
      <c r="O184" s="98"/>
      <c r="P184" s="98"/>
      <c r="Q184" s="98"/>
    </row>
    <row r="185" spans="1:23" ht="15" customHeight="1" thickBot="1" x14ac:dyDescent="0.45">
      <c r="A185" s="48"/>
      <c r="B185" s="98"/>
      <c r="C185" s="98"/>
      <c r="D185" s="98"/>
      <c r="E185" s="98"/>
      <c r="F185" s="98"/>
      <c r="G185" s="98"/>
      <c r="H185" s="98"/>
      <c r="I185" s="98"/>
      <c r="J185" s="98"/>
      <c r="K185" s="98"/>
      <c r="L185" s="98"/>
      <c r="M185" s="98"/>
      <c r="N185" s="98"/>
      <c r="O185" s="98"/>
      <c r="P185" s="98"/>
      <c r="Q185" s="98"/>
    </row>
    <row r="186" spans="1:23" ht="15" customHeight="1" thickBot="1" x14ac:dyDescent="0.35">
      <c r="A186" s="23"/>
      <c r="B186" s="1894" t="str">
        <f>(brew2_abb&amp;" Landfill emissions from material")</f>
        <v>2ND Landfill emissions from material</v>
      </c>
      <c r="C186" s="1895"/>
      <c r="D186" s="1895"/>
      <c r="E186" s="1895"/>
      <c r="F186" s="1896"/>
      <c r="G186" s="35"/>
      <c r="H186" s="35"/>
      <c r="I186" s="35"/>
      <c r="J186" s="35"/>
      <c r="K186" s="35"/>
      <c r="L186" s="35"/>
      <c r="M186" s="35"/>
      <c r="N186" s="35"/>
      <c r="O186" s="35"/>
      <c r="P186" s="36"/>
      <c r="Q186" s="98"/>
    </row>
    <row r="187" spans="1:23" ht="12.75" customHeight="1" x14ac:dyDescent="0.35">
      <c r="A187" s="23"/>
      <c r="B187" s="409" t="s">
        <v>669</v>
      </c>
      <c r="C187" s="98"/>
      <c r="D187" s="98"/>
      <c r="E187" s="98"/>
      <c r="F187" s="98"/>
      <c r="G187" s="98"/>
      <c r="H187" s="98"/>
      <c r="I187" s="98"/>
      <c r="J187" s="98"/>
      <c r="K187" s="98"/>
      <c r="L187" s="98"/>
      <c r="M187" s="98"/>
      <c r="N187" s="98"/>
      <c r="O187" s="98"/>
      <c r="P187" s="24"/>
      <c r="Q187" s="98"/>
    </row>
    <row r="188" spans="1:23" ht="14.5" x14ac:dyDescent="0.35">
      <c r="A188" s="23"/>
      <c r="B188" s="23"/>
      <c r="C188" s="236" t="s">
        <v>670</v>
      </c>
      <c r="D188" s="236"/>
      <c r="E188" s="321"/>
      <c r="F188" s="321"/>
      <c r="G188" s="236" t="s">
        <v>671</v>
      </c>
      <c r="H188" s="236"/>
      <c r="I188" s="321"/>
      <c r="J188" s="321"/>
      <c r="K188" s="321"/>
      <c r="L188" s="321"/>
      <c r="M188" s="236" t="s">
        <v>672</v>
      </c>
      <c r="N188" s="392"/>
      <c r="O188" s="321"/>
      <c r="P188" s="24"/>
      <c r="Q188" s="98"/>
      <c r="U188" s="32"/>
      <c r="V188" s="32"/>
      <c r="W188" s="32"/>
    </row>
    <row r="189" spans="1:23" ht="14.5" x14ac:dyDescent="0.35">
      <c r="A189" s="23"/>
      <c r="B189" s="23"/>
      <c r="C189" s="319">
        <v>0</v>
      </c>
      <c r="D189" s="388" t="s">
        <v>629</v>
      </c>
      <c r="E189" s="230"/>
      <c r="F189" s="230"/>
      <c r="G189" s="319">
        <f t="shared" ref="G189:G196" si="20">M153</f>
        <v>1399.9999999999991</v>
      </c>
      <c r="H189" s="388" t="s">
        <v>629</v>
      </c>
      <c r="I189" s="230"/>
      <c r="J189" s="230"/>
      <c r="K189" s="321"/>
      <c r="L189" s="321"/>
      <c r="M189" s="319">
        <f>C189+G189</f>
        <v>1399.9999999999991</v>
      </c>
      <c r="N189" s="318" t="s">
        <v>629</v>
      </c>
      <c r="O189" s="230"/>
      <c r="P189" s="24"/>
      <c r="Q189" s="98"/>
      <c r="U189" s="32"/>
      <c r="V189" s="32"/>
      <c r="W189" s="32"/>
    </row>
    <row r="190" spans="1:23" ht="14.5" x14ac:dyDescent="0.35">
      <c r="A190" s="23"/>
      <c r="B190" s="23"/>
      <c r="C190" s="319">
        <v>0</v>
      </c>
      <c r="D190" s="388" t="s">
        <v>631</v>
      </c>
      <c r="E190" s="230"/>
      <c r="F190" s="230"/>
      <c r="G190" s="319">
        <f t="shared" si="20"/>
        <v>240</v>
      </c>
      <c r="H190" s="388" t="s">
        <v>631</v>
      </c>
      <c r="I190" s="230"/>
      <c r="J190" s="230"/>
      <c r="K190" s="321"/>
      <c r="L190" s="321"/>
      <c r="M190" s="319">
        <f t="shared" ref="M190:M196" si="21">C190+G190</f>
        <v>240</v>
      </c>
      <c r="N190" s="318" t="s">
        <v>631</v>
      </c>
      <c r="O190" s="230"/>
      <c r="P190" s="24"/>
      <c r="Q190" s="98"/>
      <c r="S190" s="33"/>
      <c r="U190" s="32"/>
      <c r="V190" s="32"/>
      <c r="W190" s="32"/>
    </row>
    <row r="191" spans="1:23" ht="14.5" x14ac:dyDescent="0.35">
      <c r="A191" s="23"/>
      <c r="B191" s="23"/>
      <c r="C191" s="319">
        <v>0</v>
      </c>
      <c r="D191" s="388" t="s">
        <v>634</v>
      </c>
      <c r="E191" s="230"/>
      <c r="F191" s="230"/>
      <c r="G191" s="319">
        <f t="shared" si="20"/>
        <v>1999.9999999999995</v>
      </c>
      <c r="H191" s="388" t="s">
        <v>634</v>
      </c>
      <c r="I191" s="230"/>
      <c r="J191" s="230"/>
      <c r="K191" s="321"/>
      <c r="L191" s="321"/>
      <c r="M191" s="319">
        <f t="shared" si="21"/>
        <v>1999.9999999999995</v>
      </c>
      <c r="N191" s="318" t="s">
        <v>634</v>
      </c>
      <c r="O191" s="230"/>
      <c r="P191" s="24"/>
      <c r="Q191" s="98"/>
      <c r="U191" s="32"/>
      <c r="V191" s="32"/>
      <c r="W191" s="32"/>
    </row>
    <row r="192" spans="1:23" ht="14.5" x14ac:dyDescent="0.35">
      <c r="A192" s="23"/>
      <c r="B192" s="23"/>
      <c r="C192" s="319">
        <f>D146</f>
        <v>100000</v>
      </c>
      <c r="D192" s="388" t="s">
        <v>637</v>
      </c>
      <c r="E192" s="230"/>
      <c r="F192" s="230"/>
      <c r="G192" s="319">
        <f t="shared" si="20"/>
        <v>0</v>
      </c>
      <c r="H192" s="388" t="s">
        <v>637</v>
      </c>
      <c r="I192" s="230"/>
      <c r="J192" s="230"/>
      <c r="K192" s="321"/>
      <c r="L192" s="321"/>
      <c r="M192" s="319">
        <f t="shared" si="21"/>
        <v>100000</v>
      </c>
      <c r="N192" s="318" t="s">
        <v>637</v>
      </c>
      <c r="O192" s="230"/>
      <c r="P192" s="24"/>
      <c r="Q192" s="98"/>
      <c r="U192" s="32"/>
      <c r="V192" s="32"/>
      <c r="W192" s="32"/>
    </row>
    <row r="193" spans="1:26" ht="14.5" x14ac:dyDescent="0.35">
      <c r="A193" s="23"/>
      <c r="B193" s="23"/>
      <c r="C193" s="319">
        <v>0</v>
      </c>
      <c r="D193" s="693" t="s">
        <v>639</v>
      </c>
      <c r="E193" s="230"/>
      <c r="F193" s="230"/>
      <c r="G193" s="319">
        <f t="shared" si="20"/>
        <v>241.99999999999997</v>
      </c>
      <c r="H193" s="693" t="s">
        <v>639</v>
      </c>
      <c r="I193" s="230"/>
      <c r="J193" s="230"/>
      <c r="K193" s="321"/>
      <c r="L193" s="321"/>
      <c r="M193" s="319">
        <f t="shared" si="21"/>
        <v>241.99999999999997</v>
      </c>
      <c r="N193" s="693" t="s">
        <v>639</v>
      </c>
      <c r="O193" s="230"/>
      <c r="P193" s="24"/>
      <c r="Q193" s="98"/>
      <c r="X193" s="32"/>
      <c r="Y193" s="32"/>
      <c r="Z193" s="32"/>
    </row>
    <row r="194" spans="1:26" ht="14.5" x14ac:dyDescent="0.35">
      <c r="A194" s="23"/>
      <c r="B194" s="23"/>
      <c r="C194" s="319">
        <v>0</v>
      </c>
      <c r="D194" s="388" t="s">
        <v>641</v>
      </c>
      <c r="E194" s="230"/>
      <c r="F194" s="230"/>
      <c r="G194" s="319">
        <f t="shared" si="20"/>
        <v>69.999999999999957</v>
      </c>
      <c r="H194" s="388" t="s">
        <v>641</v>
      </c>
      <c r="I194" s="230"/>
      <c r="J194" s="230"/>
      <c r="K194" s="321"/>
      <c r="L194" s="321"/>
      <c r="M194" s="319">
        <f t="shared" si="21"/>
        <v>69.999999999999957</v>
      </c>
      <c r="N194" s="318" t="s">
        <v>641</v>
      </c>
      <c r="O194" s="230"/>
      <c r="P194" s="24"/>
      <c r="Q194" s="98"/>
      <c r="X194" s="32"/>
      <c r="Y194" s="32"/>
      <c r="Z194" s="32"/>
    </row>
    <row r="195" spans="1:26" ht="14.5" x14ac:dyDescent="0.35">
      <c r="A195" s="23"/>
      <c r="B195" s="23"/>
      <c r="C195" s="319">
        <v>0</v>
      </c>
      <c r="D195" s="388" t="s">
        <v>673</v>
      </c>
      <c r="E195" s="230"/>
      <c r="F195" s="230"/>
      <c r="G195" s="319">
        <f t="shared" si="20"/>
        <v>20.000000000000018</v>
      </c>
      <c r="H195" s="388" t="s">
        <v>643</v>
      </c>
      <c r="I195" s="230"/>
      <c r="J195" s="230"/>
      <c r="K195" s="321"/>
      <c r="L195" s="321"/>
      <c r="M195" s="319">
        <f t="shared" si="21"/>
        <v>20.000000000000018</v>
      </c>
      <c r="N195" s="318" t="s">
        <v>643</v>
      </c>
      <c r="O195" s="230"/>
      <c r="P195" s="24"/>
      <c r="Q195" s="98"/>
      <c r="X195" s="32"/>
      <c r="Y195" s="32"/>
      <c r="Z195" s="32"/>
    </row>
    <row r="196" spans="1:26" ht="14.5" x14ac:dyDescent="0.35">
      <c r="A196" s="23"/>
      <c r="B196" s="23"/>
      <c r="C196" s="319">
        <v>0</v>
      </c>
      <c r="D196" s="388" t="s">
        <v>674</v>
      </c>
      <c r="E196" s="230"/>
      <c r="F196" s="230"/>
      <c r="G196" s="319">
        <f t="shared" si="20"/>
        <v>0</v>
      </c>
      <c r="H196" s="388" t="s">
        <v>646</v>
      </c>
      <c r="I196" s="230"/>
      <c r="J196" s="230"/>
      <c r="K196" s="321"/>
      <c r="L196" s="321"/>
      <c r="M196" s="319">
        <f t="shared" si="21"/>
        <v>0</v>
      </c>
      <c r="N196" s="318" t="s">
        <v>646</v>
      </c>
      <c r="O196" s="230"/>
      <c r="P196" s="24"/>
      <c r="Q196" s="98"/>
    </row>
    <row r="197" spans="1:26" ht="14.5" x14ac:dyDescent="0.35">
      <c r="A197" s="23"/>
      <c r="B197" s="23"/>
      <c r="C197" s="321"/>
      <c r="D197" s="321"/>
      <c r="E197" s="321"/>
      <c r="F197" s="321"/>
      <c r="G197" s="393"/>
      <c r="H197" s="321"/>
      <c r="I197" s="321"/>
      <c r="J197" s="321"/>
      <c r="K197" s="321"/>
      <c r="L197" s="321"/>
      <c r="M197" s="389">
        <f>SUM(M189:M196)</f>
        <v>103972</v>
      </c>
      <c r="N197" s="390" t="s">
        <v>675</v>
      </c>
      <c r="O197" s="394"/>
      <c r="P197" s="24"/>
      <c r="Q197" s="98"/>
    </row>
    <row r="198" spans="1:26" ht="14.5" x14ac:dyDescent="0.35">
      <c r="A198" s="23"/>
      <c r="B198" s="23"/>
      <c r="C198" s="321"/>
      <c r="D198" s="321"/>
      <c r="E198" s="321"/>
      <c r="F198" s="321"/>
      <c r="G198" s="393"/>
      <c r="H198" s="321"/>
      <c r="I198" s="321"/>
      <c r="J198" s="321"/>
      <c r="K198" s="321"/>
      <c r="L198" s="321"/>
      <c r="M198" s="397"/>
      <c r="N198" s="398"/>
      <c r="O198" s="321"/>
      <c r="P198" s="24"/>
      <c r="Q198" s="98"/>
    </row>
    <row r="199" spans="1:26" ht="14.5" x14ac:dyDescent="0.35">
      <c r="A199" s="23"/>
      <c r="B199" s="23"/>
      <c r="C199" s="321"/>
      <c r="D199" s="321"/>
      <c r="E199" s="321"/>
      <c r="F199" s="321"/>
      <c r="G199" s="392"/>
      <c r="H199" s="321"/>
      <c r="I199" s="321"/>
      <c r="J199" s="321"/>
      <c r="K199" s="321"/>
      <c r="L199" s="321"/>
      <c r="M199" s="392"/>
      <c r="N199" s="321"/>
      <c r="O199" s="321"/>
      <c r="P199" s="24"/>
      <c r="Q199" s="98"/>
    </row>
    <row r="200" spans="1:26" ht="15.75" customHeight="1" x14ac:dyDescent="0.35">
      <c r="A200" s="23"/>
      <c r="B200" s="23"/>
      <c r="C200" s="98"/>
      <c r="D200" s="391"/>
      <c r="E200" s="321"/>
      <c r="F200" s="321"/>
      <c r="G200" s="321"/>
      <c r="H200" s="322" t="s">
        <v>676</v>
      </c>
      <c r="I200" s="321"/>
      <c r="J200" s="395"/>
      <c r="K200" s="321"/>
      <c r="L200" s="321"/>
      <c r="M200" s="1873" t="s">
        <v>677</v>
      </c>
      <c r="N200" s="1874"/>
      <c r="O200" s="1875"/>
      <c r="P200" s="24"/>
      <c r="Q200" s="98"/>
    </row>
    <row r="201" spans="1:26" ht="14.5" x14ac:dyDescent="0.35">
      <c r="A201" s="23"/>
      <c r="B201" s="23"/>
      <c r="C201" s="1903" t="s">
        <v>678</v>
      </c>
      <c r="D201" s="1903"/>
      <c r="E201" s="321"/>
      <c r="F201" s="321"/>
      <c r="G201" s="321"/>
      <c r="H201" s="236" t="s">
        <v>679</v>
      </c>
      <c r="I201" s="321"/>
      <c r="J201" s="225"/>
      <c r="K201" s="321"/>
      <c r="L201" s="321"/>
      <c r="M201" s="1904" t="s">
        <v>680</v>
      </c>
      <c r="N201" s="1905"/>
      <c r="O201" s="1906"/>
      <c r="P201" s="24"/>
      <c r="Q201" s="98"/>
    </row>
    <row r="202" spans="1:26" ht="14.5" x14ac:dyDescent="0.35">
      <c r="A202" s="23"/>
      <c r="B202" s="23"/>
      <c r="C202" s="319">
        <f t="shared" ref="C202:C209" si="22">M189</f>
        <v>1399.9999999999991</v>
      </c>
      <c r="D202" s="318" t="s">
        <v>629</v>
      </c>
      <c r="E202" s="321"/>
      <c r="F202" s="321"/>
      <c r="G202" s="1569">
        <v>0.45</v>
      </c>
      <c r="H202" s="1320" t="s">
        <v>681</v>
      </c>
      <c r="I202" s="321"/>
      <c r="J202" s="225"/>
      <c r="K202" s="321"/>
      <c r="L202" s="321"/>
      <c r="M202" s="1565" t="s">
        <v>613</v>
      </c>
      <c r="N202" s="1566">
        <f>C202*'Brewery-Control Data'!$L$38*'Brewery-Control Data'!$L$39*G202*'Brewery-Control Data'!$L$41</f>
        <v>285.76327499999979</v>
      </c>
      <c r="O202" s="1570" t="s">
        <v>177</v>
      </c>
      <c r="P202" s="24"/>
      <c r="Q202" s="98"/>
    </row>
    <row r="203" spans="1:26" ht="14.5" x14ac:dyDescent="0.35">
      <c r="A203" s="23"/>
      <c r="B203" s="23"/>
      <c r="C203" s="319">
        <f t="shared" si="22"/>
        <v>240</v>
      </c>
      <c r="D203" s="318" t="s">
        <v>631</v>
      </c>
      <c r="E203" s="321"/>
      <c r="F203" s="321"/>
      <c r="G203" s="1569">
        <v>0.02</v>
      </c>
      <c r="H203" s="1320" t="s">
        <v>682</v>
      </c>
      <c r="I203" s="321"/>
      <c r="J203" s="225"/>
      <c r="K203" s="321"/>
      <c r="L203" s="321"/>
      <c r="M203" s="1565" t="s">
        <v>632</v>
      </c>
      <c r="N203" s="1566">
        <f>C203*'Brewery-Control Data'!$L$38*'Brewery-Control Data'!$L$39*G203*'Brewery-Control Data'!$L$41</f>
        <v>2.177244</v>
      </c>
      <c r="O203" s="1570" t="s">
        <v>177</v>
      </c>
      <c r="P203" s="24"/>
      <c r="Q203" s="98"/>
    </row>
    <row r="204" spans="1:26" ht="14.5" x14ac:dyDescent="0.35">
      <c r="A204" s="23"/>
      <c r="B204" s="23"/>
      <c r="C204" s="319">
        <f t="shared" si="22"/>
        <v>1999.9999999999995</v>
      </c>
      <c r="D204" s="318" t="s">
        <v>634</v>
      </c>
      <c r="E204" s="321"/>
      <c r="F204" s="321"/>
      <c r="G204" s="1569">
        <v>-0.39</v>
      </c>
      <c r="H204" s="1320" t="s">
        <v>683</v>
      </c>
      <c r="I204" s="321"/>
      <c r="J204" s="225"/>
      <c r="K204" s="321"/>
      <c r="L204" s="321"/>
      <c r="M204" s="1565" t="s">
        <v>622</v>
      </c>
      <c r="N204" s="1566">
        <f>C204*'Brewery-Control Data'!$L$38*'Brewery-Control Data'!$L$39*G204*'Brewery-Control Data'!$L$41</f>
        <v>-353.80214999999993</v>
      </c>
      <c r="O204" s="1570" t="s">
        <v>177</v>
      </c>
      <c r="P204" s="24"/>
      <c r="Q204" s="98"/>
    </row>
    <row r="205" spans="1:26" ht="14.5" x14ac:dyDescent="0.35">
      <c r="A205" s="23"/>
      <c r="B205" s="23"/>
      <c r="C205" s="319">
        <f t="shared" si="22"/>
        <v>100000</v>
      </c>
      <c r="D205" s="318" t="s">
        <v>637</v>
      </c>
      <c r="E205" s="321"/>
      <c r="F205" s="321"/>
      <c r="G205" s="1569">
        <v>0.45</v>
      </c>
      <c r="H205" s="1320" t="s">
        <v>684</v>
      </c>
      <c r="I205" s="321"/>
      <c r="J205" s="225"/>
      <c r="K205" s="321"/>
      <c r="L205" s="321"/>
      <c r="M205" s="1565" t="s">
        <v>621</v>
      </c>
      <c r="N205" s="1566">
        <f>C205*'Brewery-Control Data'!$L$38*'Brewery-Control Data'!$L$39*G205*'Brewery-Control Data'!$L$41</f>
        <v>20411.662500000002</v>
      </c>
      <c r="O205" s="1570" t="s">
        <v>177</v>
      </c>
      <c r="P205" s="24"/>
      <c r="Q205" s="98"/>
    </row>
    <row r="206" spans="1:26" ht="14.5" x14ac:dyDescent="0.35">
      <c r="A206" s="23"/>
      <c r="B206" s="23"/>
      <c r="C206" s="319">
        <f t="shared" si="22"/>
        <v>241.99999999999997</v>
      </c>
      <c r="D206" s="693" t="s">
        <v>639</v>
      </c>
      <c r="E206" s="321"/>
      <c r="F206" s="321"/>
      <c r="G206" s="1569">
        <v>0.02</v>
      </c>
      <c r="H206" s="1320" t="s">
        <v>685</v>
      </c>
      <c r="I206" s="321"/>
      <c r="J206" s="225"/>
      <c r="K206" s="321"/>
      <c r="L206" s="321"/>
      <c r="M206" s="1565" t="s">
        <v>660</v>
      </c>
      <c r="N206" s="1566">
        <f>C206*'Brewery-Control Data'!$L$38*'Brewery-Control Data'!$L$39*G206*'Brewery-Control Data'!$L$41</f>
        <v>2.1953876999999999</v>
      </c>
      <c r="O206" s="1570" t="s">
        <v>177</v>
      </c>
      <c r="P206" s="24"/>
      <c r="Q206" s="98"/>
    </row>
    <row r="207" spans="1:26" ht="14.5" x14ac:dyDescent="0.35">
      <c r="A207" s="23"/>
      <c r="B207" s="23"/>
      <c r="C207" s="319">
        <f t="shared" si="22"/>
        <v>69.999999999999957</v>
      </c>
      <c r="D207" s="318" t="s">
        <v>641</v>
      </c>
      <c r="E207" s="321"/>
      <c r="F207" s="321"/>
      <c r="G207" s="1569">
        <v>0.02</v>
      </c>
      <c r="H207" s="1320" t="s">
        <v>686</v>
      </c>
      <c r="I207" s="321"/>
      <c r="J207" s="225"/>
      <c r="K207" s="321"/>
      <c r="L207" s="321"/>
      <c r="M207" s="1565" t="s">
        <v>158</v>
      </c>
      <c r="N207" s="1566">
        <f>C207*'Brewery-Control Data'!$L$38*'Brewery-Control Data'!$L$39*G207*'Brewery-Control Data'!$L$41</f>
        <v>0.6350294999999998</v>
      </c>
      <c r="O207" s="1570" t="s">
        <v>177</v>
      </c>
      <c r="P207" s="24"/>
      <c r="Q207" s="98"/>
    </row>
    <row r="208" spans="1:26" ht="12.75" customHeight="1" x14ac:dyDescent="0.35">
      <c r="A208" s="23"/>
      <c r="B208" s="23"/>
      <c r="C208" s="319">
        <f t="shared" si="22"/>
        <v>20.000000000000018</v>
      </c>
      <c r="D208" s="318" t="s">
        <v>643</v>
      </c>
      <c r="E208" s="321"/>
      <c r="F208" s="321"/>
      <c r="G208" s="1569">
        <v>0.02</v>
      </c>
      <c r="H208" s="1320" t="s">
        <v>687</v>
      </c>
      <c r="I208" s="321"/>
      <c r="J208" s="225"/>
      <c r="K208" s="321"/>
      <c r="L208" s="321"/>
      <c r="M208" s="1565" t="s">
        <v>688</v>
      </c>
      <c r="N208" s="1566">
        <f>C208*'Brewery-Control Data'!$L$38*'Brewery-Control Data'!$L$39*G208*'Brewery-Control Data'!$L$41</f>
        <v>0.18143700000000015</v>
      </c>
      <c r="O208" s="1570" t="s">
        <v>177</v>
      </c>
      <c r="P208" s="24"/>
      <c r="Q208" s="98"/>
    </row>
    <row r="209" spans="1:17" ht="14.5" x14ac:dyDescent="0.35">
      <c r="A209" s="23"/>
      <c r="B209" s="23"/>
      <c r="C209" s="319">
        <f t="shared" si="22"/>
        <v>0</v>
      </c>
      <c r="D209" s="318" t="s">
        <v>646</v>
      </c>
      <c r="E209" s="321"/>
      <c r="F209" s="321"/>
      <c r="G209" s="1569">
        <v>0.02</v>
      </c>
      <c r="H209" s="1320" t="s">
        <v>689</v>
      </c>
      <c r="I209" s="321"/>
      <c r="J209" s="225"/>
      <c r="K209" s="321"/>
      <c r="L209" s="321"/>
      <c r="M209" s="1565" t="s">
        <v>690</v>
      </c>
      <c r="N209" s="1566">
        <f>C209*'Brewery-Control Data'!$L$38*'Brewery-Control Data'!$L$39*G209*'Brewery-Control Data'!$L$41</f>
        <v>0</v>
      </c>
      <c r="O209" s="1570" t="s">
        <v>177</v>
      </c>
      <c r="P209" s="24"/>
      <c r="Q209" s="98"/>
    </row>
    <row r="210" spans="1:17" ht="15" thickBot="1" x14ac:dyDescent="0.4">
      <c r="A210" s="23"/>
      <c r="B210" s="23"/>
      <c r="C210" s="319">
        <f>I138</f>
        <v>10000</v>
      </c>
      <c r="D210" s="849" t="s">
        <v>691</v>
      </c>
      <c r="E210" s="321"/>
      <c r="F210" s="321"/>
      <c r="G210" s="1569">
        <v>0.04</v>
      </c>
      <c r="H210" s="1320" t="s">
        <v>692</v>
      </c>
      <c r="I210" s="321"/>
      <c r="J210" s="225"/>
      <c r="K210" s="321"/>
      <c r="L210" s="321"/>
      <c r="M210" s="1572" t="s">
        <v>693</v>
      </c>
      <c r="N210" s="1566">
        <f>C210*'Brewery-Control Data'!$L$38*'Brewery-Control Data'!$L$39*G210*'Brewery-Control Data'!$L$41</f>
        <v>181.43699999999998</v>
      </c>
      <c r="O210" s="1570" t="s">
        <v>177</v>
      </c>
      <c r="P210" s="24"/>
      <c r="Q210" s="98"/>
    </row>
    <row r="211" spans="1:17" ht="15" thickBot="1" x14ac:dyDescent="0.4">
      <c r="A211" s="23"/>
      <c r="B211" s="23"/>
      <c r="C211" s="321"/>
      <c r="D211" s="321"/>
      <c r="E211" s="321"/>
      <c r="F211" s="321"/>
      <c r="G211" s="321"/>
      <c r="H211" s="321"/>
      <c r="I211" s="225"/>
      <c r="J211" s="225"/>
      <c r="K211" s="321"/>
      <c r="L211" s="1897" t="s">
        <v>694</v>
      </c>
      <c r="M211" s="1898"/>
      <c r="N211" s="1345">
        <f>SUM(N202:N210)</f>
        <v>20530.249723200006</v>
      </c>
      <c r="O211" s="613" t="s">
        <v>177</v>
      </c>
      <c r="P211" s="24"/>
      <c r="Q211" s="98"/>
    </row>
    <row r="212" spans="1:17" ht="15" thickBot="1" x14ac:dyDescent="0.4">
      <c r="A212" s="23"/>
      <c r="B212" s="23"/>
      <c r="C212" s="321"/>
      <c r="D212" s="321"/>
      <c r="E212" s="321"/>
      <c r="F212" s="321"/>
      <c r="G212" s="321"/>
      <c r="H212" s="321"/>
      <c r="I212" s="321"/>
      <c r="J212" s="321"/>
      <c r="K212" s="225"/>
      <c r="L212" s="1899" t="s">
        <v>276</v>
      </c>
      <c r="M212" s="1900"/>
      <c r="N212" s="1350">
        <f>'Brewery-Control Data'!$E$10</f>
        <v>88010.823974999992</v>
      </c>
      <c r="O212" s="1347" t="s">
        <v>125</v>
      </c>
      <c r="P212" s="24"/>
      <c r="Q212" s="98"/>
    </row>
    <row r="213" spans="1:17" ht="15" thickBot="1" x14ac:dyDescent="0.4">
      <c r="A213" s="23"/>
      <c r="B213" s="23"/>
      <c r="C213" s="321"/>
      <c r="D213" s="321"/>
      <c r="E213" s="321"/>
      <c r="F213" s="321"/>
      <c r="G213" s="392"/>
      <c r="H213" s="321"/>
      <c r="I213" s="321"/>
      <c r="J213" s="321"/>
      <c r="K213" s="321"/>
      <c r="L213" s="1901" t="s">
        <v>694</v>
      </c>
      <c r="M213" s="1902"/>
      <c r="N213" s="1348">
        <f>N211/N212</f>
        <v>0.23326960021453438</v>
      </c>
      <c r="O213" s="1349" t="s">
        <v>665</v>
      </c>
      <c r="P213" s="24"/>
      <c r="Q213" s="98"/>
    </row>
    <row r="214" spans="1:17" ht="14.5" x14ac:dyDescent="0.35">
      <c r="A214" s="23"/>
      <c r="B214" s="23"/>
      <c r="C214" s="321"/>
      <c r="D214" s="321"/>
      <c r="E214" s="321"/>
      <c r="F214" s="321"/>
      <c r="G214" s="392"/>
      <c r="H214" s="321"/>
      <c r="I214" s="321"/>
      <c r="J214" s="321"/>
      <c r="K214" s="321"/>
      <c r="L214" s="1713"/>
      <c r="M214" s="1713"/>
      <c r="N214" s="612"/>
      <c r="O214" s="400"/>
      <c r="P214" s="24"/>
      <c r="Q214" s="98"/>
    </row>
    <row r="215" spans="1:17" ht="15" thickBot="1" x14ac:dyDescent="0.4">
      <c r="A215" s="23"/>
      <c r="B215" s="1871" t="s">
        <v>695</v>
      </c>
      <c r="C215" s="1872"/>
      <c r="D215" s="1872"/>
      <c r="E215" s="1872"/>
      <c r="F215" s="1872"/>
      <c r="G215" s="392"/>
      <c r="H215" s="321"/>
      <c r="I215" s="321"/>
      <c r="J215" s="321"/>
      <c r="K215" s="321"/>
      <c r="L215" s="321"/>
      <c r="M215" s="392"/>
      <c r="N215" s="321"/>
      <c r="O215" s="321"/>
      <c r="P215" s="24"/>
      <c r="Q215" s="98"/>
    </row>
    <row r="216" spans="1:17" ht="15" thickTop="1" x14ac:dyDescent="0.35">
      <c r="A216" s="23"/>
      <c r="B216" s="380" t="s">
        <v>666</v>
      </c>
      <c r="C216" s="226"/>
      <c r="D216" s="226"/>
      <c r="E216" s="1331"/>
      <c r="F216" s="1331"/>
      <c r="G216" s="392"/>
      <c r="H216" s="321"/>
      <c r="I216" s="321"/>
      <c r="J216" s="321"/>
      <c r="K216" s="321"/>
      <c r="L216" s="321"/>
      <c r="M216" s="392"/>
      <c r="N216" s="321"/>
      <c r="O216" s="321"/>
      <c r="P216" s="24"/>
      <c r="Q216" s="98"/>
    </row>
    <row r="217" spans="1:17" ht="14.5" x14ac:dyDescent="0.35">
      <c r="A217" s="23"/>
      <c r="B217" s="380" t="s">
        <v>696</v>
      </c>
      <c r="C217" s="226"/>
      <c r="D217" s="226"/>
      <c r="E217" s="1331"/>
      <c r="F217" s="1331"/>
      <c r="G217" s="392"/>
      <c r="H217" s="321"/>
      <c r="I217" s="321"/>
      <c r="J217" s="321"/>
      <c r="K217" s="321"/>
      <c r="L217" s="321"/>
      <c r="M217" s="392"/>
      <c r="N217" s="321"/>
      <c r="O217" s="321"/>
      <c r="P217" s="24"/>
      <c r="Q217" s="98"/>
    </row>
    <row r="218" spans="1:17" ht="14.5" x14ac:dyDescent="0.35">
      <c r="A218" s="23"/>
      <c r="B218" s="377" t="s">
        <v>668</v>
      </c>
      <c r="C218" s="226"/>
      <c r="D218" s="226"/>
      <c r="E218" s="1331"/>
      <c r="F218" s="1331"/>
      <c r="G218" s="392"/>
      <c r="H218" s="321"/>
      <c r="I218" s="321"/>
      <c r="J218" s="321"/>
      <c r="K218" s="321"/>
      <c r="L218" s="321"/>
      <c r="M218" s="392"/>
      <c r="N218" s="321"/>
      <c r="O218" s="321"/>
      <c r="P218" s="24"/>
      <c r="Q218" s="98"/>
    </row>
    <row r="219" spans="1:17" ht="15" thickBot="1" x14ac:dyDescent="0.4">
      <c r="A219" s="23"/>
      <c r="B219" s="384"/>
      <c r="C219" s="385"/>
      <c r="D219" s="385"/>
      <c r="E219" s="385"/>
      <c r="F219" s="385"/>
      <c r="G219" s="385"/>
      <c r="H219" s="385"/>
      <c r="I219" s="385"/>
      <c r="J219" s="385"/>
      <c r="K219" s="385"/>
      <c r="L219" s="385"/>
      <c r="M219" s="386"/>
      <c r="N219" s="387"/>
      <c r="O219" s="143"/>
      <c r="P219" s="26"/>
      <c r="Q219" s="98"/>
    </row>
    <row r="220" spans="1:17" ht="13" x14ac:dyDescent="0.3">
      <c r="A220" s="23"/>
      <c r="B220" s="98"/>
      <c r="C220" s="98"/>
      <c r="D220" s="98"/>
      <c r="E220" s="17"/>
      <c r="F220" s="17"/>
      <c r="G220" s="17"/>
      <c r="H220" s="98"/>
      <c r="I220" s="98"/>
      <c r="J220" s="98"/>
      <c r="K220" s="371"/>
      <c r="L220" s="19"/>
      <c r="M220" s="17"/>
      <c r="N220" s="98"/>
      <c r="O220" s="98"/>
      <c r="P220" s="98"/>
      <c r="Q220" s="98"/>
    </row>
    <row r="221" spans="1:17" ht="13.5" thickBot="1" x14ac:dyDescent="0.35">
      <c r="A221" s="23"/>
      <c r="B221" s="18"/>
      <c r="C221" s="38"/>
      <c r="D221" s="98"/>
      <c r="E221" s="98"/>
      <c r="F221" s="98"/>
      <c r="G221" s="31"/>
      <c r="H221" s="98"/>
      <c r="I221" s="98"/>
      <c r="J221" s="98"/>
      <c r="K221" s="98"/>
      <c r="L221" s="98"/>
      <c r="M221" s="98"/>
      <c r="N221" s="98"/>
      <c r="O221" s="98"/>
      <c r="P221" s="98"/>
      <c r="Q221" s="98"/>
    </row>
    <row r="222" spans="1:17" ht="14.5" thickBot="1" x14ac:dyDescent="0.35">
      <c r="A222" s="23"/>
      <c r="B222" s="407" t="str">
        <f>(brew2_abb&amp;" By-Products")</f>
        <v>2ND By-Products</v>
      </c>
      <c r="C222" s="408"/>
      <c r="D222" s="408"/>
      <c r="E222" s="35"/>
      <c r="F222" s="35"/>
      <c r="G222" s="144"/>
      <c r="H222" s="35"/>
      <c r="I222" s="35"/>
      <c r="J222" s="35"/>
      <c r="K222" s="35"/>
      <c r="L222" s="35"/>
      <c r="M222" s="35"/>
      <c r="N222" s="35"/>
      <c r="O222" s="35"/>
      <c r="P222" s="36"/>
      <c r="Q222" s="98"/>
    </row>
    <row r="223" spans="1:17" ht="14.5" x14ac:dyDescent="0.35">
      <c r="A223" s="23"/>
      <c r="B223" s="412" t="s">
        <v>697</v>
      </c>
      <c r="C223" s="98"/>
      <c r="D223" s="98"/>
      <c r="E223" s="98"/>
      <c r="F223" s="98"/>
      <c r="G223" s="31"/>
      <c r="H223" s="98"/>
      <c r="I223" s="98"/>
      <c r="J223" s="98"/>
      <c r="K223" s="98"/>
      <c r="L223" s="1352"/>
      <c r="M223" s="1352"/>
      <c r="N223" s="16"/>
      <c r="O223" s="16"/>
      <c r="P223" s="24"/>
      <c r="Q223" s="98"/>
    </row>
    <row r="224" spans="1:17" ht="14.5" x14ac:dyDescent="0.35">
      <c r="A224" s="23"/>
      <c r="B224" s="422"/>
      <c r="C224" s="418"/>
      <c r="D224" s="321"/>
      <c r="E224" s="321"/>
      <c r="F224" s="321"/>
      <c r="G224" s="413"/>
      <c r="H224" s="321"/>
      <c r="I224" s="321"/>
      <c r="J224" s="321"/>
      <c r="K224" s="321"/>
      <c r="L224" s="1352"/>
      <c r="M224" s="1352"/>
      <c r="N224" s="16"/>
      <c r="O224" s="16"/>
      <c r="P224" s="24"/>
      <c r="Q224" s="98"/>
    </row>
    <row r="225" spans="1:17" ht="14.5" x14ac:dyDescent="0.35">
      <c r="A225" s="23"/>
      <c r="B225" s="422"/>
      <c r="C225" s="1877" t="s">
        <v>619</v>
      </c>
      <c r="D225" s="1878"/>
      <c r="E225" s="1879"/>
      <c r="F225" s="321"/>
      <c r="G225" s="1880" t="s">
        <v>698</v>
      </c>
      <c r="H225" s="1881"/>
      <c r="I225" s="1881"/>
      <c r="J225" s="1882"/>
      <c r="K225" s="321"/>
      <c r="L225" s="1337"/>
      <c r="M225" s="1337"/>
      <c r="N225" s="1337"/>
      <c r="O225" s="1337"/>
      <c r="P225" s="24"/>
      <c r="Q225" s="98"/>
    </row>
    <row r="226" spans="1:17" ht="14.5" x14ac:dyDescent="0.35">
      <c r="A226" s="23"/>
      <c r="B226" s="422"/>
      <c r="C226" s="1703" t="s">
        <v>699</v>
      </c>
      <c r="D226" s="1333">
        <f>I142</f>
        <v>5000</v>
      </c>
      <c r="E226" s="420" t="s">
        <v>183</v>
      </c>
      <c r="F226" s="321"/>
      <c r="G226" s="1883" t="s">
        <v>700</v>
      </c>
      <c r="H226" s="1884"/>
      <c r="I226" s="424">
        <f>I143</f>
        <v>20000</v>
      </c>
      <c r="J226" s="420" t="s">
        <v>183</v>
      </c>
      <c r="K226" s="321"/>
      <c r="L226" s="1338"/>
      <c r="M226" s="1338"/>
      <c r="N226" s="419"/>
      <c r="O226" s="225"/>
      <c r="P226" s="24"/>
      <c r="Q226" s="98"/>
    </row>
    <row r="227" spans="1:17" ht="14.5" x14ac:dyDescent="0.35">
      <c r="A227" s="23"/>
      <c r="B227" s="422"/>
      <c r="C227" s="1703" t="s">
        <v>701</v>
      </c>
      <c r="D227" s="1351">
        <v>2000</v>
      </c>
      <c r="E227" s="420" t="s">
        <v>183</v>
      </c>
      <c r="F227" s="321"/>
      <c r="G227" s="1883" t="s">
        <v>701</v>
      </c>
      <c r="H227" s="1884"/>
      <c r="I227" s="1351">
        <v>2000</v>
      </c>
      <c r="J227" s="420" t="s">
        <v>183</v>
      </c>
      <c r="K227" s="321"/>
      <c r="L227" s="1338"/>
      <c r="M227" s="1338"/>
      <c r="N227" s="419"/>
      <c r="O227" s="225"/>
      <c r="P227" s="24"/>
      <c r="Q227" s="98"/>
    </row>
    <row r="228" spans="1:17" ht="14.5" x14ac:dyDescent="0.35">
      <c r="A228" s="23"/>
      <c r="B228" s="422"/>
      <c r="C228" s="1704" t="s">
        <v>702</v>
      </c>
      <c r="D228" s="1332">
        <f>D226/D227</f>
        <v>2.5</v>
      </c>
      <c r="E228" s="425" t="s">
        <v>703</v>
      </c>
      <c r="F228" s="321"/>
      <c r="G228" s="1885" t="s">
        <v>702</v>
      </c>
      <c r="H228" s="1886"/>
      <c r="I228" s="1332">
        <f>I226/I227</f>
        <v>10</v>
      </c>
      <c r="J228" s="425" t="s">
        <v>703</v>
      </c>
      <c r="K228" s="321"/>
      <c r="L228" s="1338"/>
      <c r="M228" s="1338"/>
      <c r="N228" s="1353"/>
      <c r="O228" s="225"/>
      <c r="P228" s="24"/>
      <c r="Q228" s="98"/>
    </row>
    <row r="229" spans="1:17" ht="14.5" x14ac:dyDescent="0.35">
      <c r="A229" s="23"/>
      <c r="B229" s="422"/>
      <c r="C229" s="1703"/>
      <c r="D229" s="426"/>
      <c r="E229" s="420"/>
      <c r="F229" s="321"/>
      <c r="G229" s="423"/>
      <c r="H229" s="321"/>
      <c r="I229" s="426"/>
      <c r="J229" s="420"/>
      <c r="K229" s="321"/>
      <c r="L229" s="1338"/>
      <c r="M229" s="1338"/>
      <c r="N229" s="419"/>
      <c r="O229" s="225"/>
      <c r="P229" s="24"/>
      <c r="Q229" s="98"/>
    </row>
    <row r="230" spans="1:17" ht="14.5" x14ac:dyDescent="0.35">
      <c r="A230" s="23"/>
      <c r="B230" s="422"/>
      <c r="C230" s="1705" t="s">
        <v>704</v>
      </c>
      <c r="D230" s="428">
        <v>10</v>
      </c>
      <c r="E230" s="420" t="s">
        <v>207</v>
      </c>
      <c r="F230" s="321"/>
      <c r="G230" s="1887" t="s">
        <v>704</v>
      </c>
      <c r="H230" s="1888"/>
      <c r="I230" s="428">
        <v>50</v>
      </c>
      <c r="J230" s="420" t="s">
        <v>207</v>
      </c>
      <c r="K230" s="321"/>
      <c r="L230" s="642"/>
      <c r="M230" s="642"/>
      <c r="N230" s="563"/>
      <c r="O230" s="225"/>
      <c r="P230" s="24"/>
      <c r="Q230" s="98"/>
    </row>
    <row r="231" spans="1:17" ht="14.5" x14ac:dyDescent="0.35">
      <c r="A231" s="23"/>
      <c r="B231" s="422"/>
      <c r="C231" s="1705" t="s">
        <v>705</v>
      </c>
      <c r="D231" s="1555">
        <f>'Brewery-Control Data'!$C$39</f>
        <v>6.3</v>
      </c>
      <c r="E231" s="420" t="s">
        <v>706</v>
      </c>
      <c r="F231" s="321"/>
      <c r="G231" s="1887" t="s">
        <v>705</v>
      </c>
      <c r="H231" s="1888"/>
      <c r="I231" s="1555">
        <f>'Brewery-Control Data'!$C$39</f>
        <v>6.3</v>
      </c>
      <c r="J231" s="420" t="s">
        <v>706</v>
      </c>
      <c r="K231" s="321"/>
      <c r="L231" s="642"/>
      <c r="M231" s="642"/>
      <c r="N231" s="563"/>
      <c r="O231" s="225"/>
      <c r="P231" s="24"/>
      <c r="Q231" s="98"/>
    </row>
    <row r="232" spans="1:17" ht="12.75" customHeight="1" x14ac:dyDescent="0.35">
      <c r="A232" s="23"/>
      <c r="B232" s="422"/>
      <c r="C232" s="1705" t="s">
        <v>707</v>
      </c>
      <c r="D232" s="1555">
        <f>'Brewery-Control Data'!$C$40</f>
        <v>10.210000000000001</v>
      </c>
      <c r="E232" s="420" t="s">
        <v>708</v>
      </c>
      <c r="F232" s="321"/>
      <c r="G232" s="1887" t="s">
        <v>707</v>
      </c>
      <c r="H232" s="1888"/>
      <c r="I232" s="1555">
        <f>'Brewery-Control Data'!$C$40</f>
        <v>10.210000000000001</v>
      </c>
      <c r="J232" s="420" t="s">
        <v>709</v>
      </c>
      <c r="K232" s="321"/>
      <c r="L232" s="642"/>
      <c r="M232" s="642"/>
      <c r="N232" s="563"/>
      <c r="O232" s="225"/>
      <c r="P232" s="24"/>
      <c r="Q232" s="98"/>
    </row>
    <row r="233" spans="1:17" ht="14.5" x14ac:dyDescent="0.35">
      <c r="A233" s="23"/>
      <c r="B233" s="422"/>
      <c r="C233" s="1706" t="s">
        <v>710</v>
      </c>
      <c r="D233" s="429">
        <f>(D230/D231)*D232</f>
        <v>16.206349206349209</v>
      </c>
      <c r="E233" s="430" t="s">
        <v>709</v>
      </c>
      <c r="F233" s="321"/>
      <c r="G233" s="1889" t="s">
        <v>710</v>
      </c>
      <c r="H233" s="1890"/>
      <c r="I233" s="429">
        <f>(I230/I231)*I232</f>
        <v>81.031746031746039</v>
      </c>
      <c r="J233" s="430" t="s">
        <v>709</v>
      </c>
      <c r="K233" s="431"/>
      <c r="L233" s="642"/>
      <c r="M233" s="642"/>
      <c r="N233" s="1354"/>
      <c r="O233" s="225"/>
      <c r="P233" s="24"/>
      <c r="Q233" s="98"/>
    </row>
    <row r="234" spans="1:17" ht="14.5" x14ac:dyDescent="0.35">
      <c r="A234" s="23"/>
      <c r="B234" s="422"/>
      <c r="C234" s="1705"/>
      <c r="D234" s="432"/>
      <c r="E234" s="420"/>
      <c r="F234" s="321"/>
      <c r="G234" s="427"/>
      <c r="H234" s="321"/>
      <c r="I234" s="432"/>
      <c r="J234" s="420"/>
      <c r="K234" s="321"/>
      <c r="L234" s="225"/>
      <c r="M234" s="225"/>
      <c r="N234" s="1354"/>
      <c r="O234" s="225"/>
      <c r="P234" s="24"/>
      <c r="Q234" s="98"/>
    </row>
    <row r="235" spans="1:17" ht="14.5" x14ac:dyDescent="0.35">
      <c r="A235" s="23"/>
      <c r="B235" s="422"/>
      <c r="C235" s="1707" t="s">
        <v>711</v>
      </c>
      <c r="D235" s="433">
        <f>D233*D228</f>
        <v>40.515873015873026</v>
      </c>
      <c r="E235" s="434" t="s">
        <v>709</v>
      </c>
      <c r="F235" s="321"/>
      <c r="G235" s="1891" t="s">
        <v>711</v>
      </c>
      <c r="H235" s="1892"/>
      <c r="I235" s="433">
        <f>I233*I228</f>
        <v>810.31746031746036</v>
      </c>
      <c r="J235" s="434" t="s">
        <v>709</v>
      </c>
      <c r="K235" s="321"/>
      <c r="L235" s="1339"/>
      <c r="M235" s="1339"/>
      <c r="N235" s="1135"/>
      <c r="O235" s="400"/>
      <c r="P235" s="24"/>
      <c r="Q235" s="98"/>
    </row>
    <row r="236" spans="1:17" ht="15" thickBot="1" x14ac:dyDescent="0.4">
      <c r="A236" s="23"/>
      <c r="B236" s="422"/>
      <c r="C236" s="418"/>
      <c r="D236" s="321"/>
      <c r="E236" s="321"/>
      <c r="F236" s="321"/>
      <c r="G236" s="413"/>
      <c r="H236" s="321"/>
      <c r="I236" s="321"/>
      <c r="J236" s="321"/>
      <c r="K236" s="321"/>
      <c r="L236" s="16"/>
      <c r="M236" s="16"/>
      <c r="N236" s="16"/>
      <c r="O236" s="16"/>
      <c r="P236" s="24"/>
      <c r="Q236" s="98"/>
    </row>
    <row r="237" spans="1:17" ht="15" thickBot="1" x14ac:dyDescent="0.4">
      <c r="A237" s="23"/>
      <c r="B237" s="422"/>
      <c r="C237" s="1364">
        <f>SUM(D235,I235)</f>
        <v>850.83333333333337</v>
      </c>
      <c r="D237" s="1362" t="s">
        <v>712</v>
      </c>
      <c r="E237" s="1365"/>
      <c r="F237" s="321"/>
      <c r="G237" s="413"/>
      <c r="H237" s="321"/>
      <c r="I237" s="321"/>
      <c r="J237" s="321"/>
      <c r="K237" s="321"/>
      <c r="L237" s="16"/>
      <c r="M237" s="16"/>
      <c r="N237" s="16"/>
      <c r="O237" s="16"/>
      <c r="P237" s="24"/>
      <c r="Q237" s="98"/>
    </row>
    <row r="238" spans="1:17" ht="15" thickBot="1" x14ac:dyDescent="0.4">
      <c r="A238" s="23"/>
      <c r="B238" s="422"/>
      <c r="C238" s="1371">
        <f>'Brewery-Control Data'!$E$10</f>
        <v>88010.823974999992</v>
      </c>
      <c r="D238" s="1369" t="s">
        <v>276</v>
      </c>
      <c r="E238" s="24"/>
      <c r="F238" s="321"/>
      <c r="G238" s="413"/>
      <c r="H238" s="321"/>
      <c r="I238" s="321"/>
      <c r="J238" s="321"/>
      <c r="K238" s="321"/>
      <c r="L238" s="16"/>
      <c r="M238" s="16"/>
      <c r="N238" s="16"/>
      <c r="O238" s="16"/>
      <c r="P238" s="24"/>
      <c r="Q238" s="98"/>
    </row>
    <row r="239" spans="1:17" ht="15" thickBot="1" x14ac:dyDescent="0.4">
      <c r="A239" s="23"/>
      <c r="B239" s="422"/>
      <c r="C239" s="1367">
        <f>C237/C238</f>
        <v>9.6673715221098008E-3</v>
      </c>
      <c r="D239" s="1363" t="s">
        <v>713</v>
      </c>
      <c r="E239" s="1368"/>
      <c r="F239" s="321"/>
      <c r="G239" s="413"/>
      <c r="H239" s="321"/>
      <c r="I239" s="321"/>
      <c r="J239" s="321"/>
      <c r="K239" s="321"/>
      <c r="L239" s="16"/>
      <c r="M239" s="16"/>
      <c r="N239" s="16"/>
      <c r="O239" s="16"/>
      <c r="P239" s="24"/>
      <c r="Q239" s="98"/>
    </row>
    <row r="240" spans="1:17" ht="14.5" x14ac:dyDescent="0.35">
      <c r="A240" s="23"/>
      <c r="B240" s="422"/>
      <c r="C240" s="418"/>
      <c r="D240" s="321"/>
      <c r="E240" s="321"/>
      <c r="F240" s="321"/>
      <c r="G240" s="413"/>
      <c r="H240" s="321"/>
      <c r="I240" s="321"/>
      <c r="J240" s="321"/>
      <c r="K240" s="321"/>
      <c r="L240" s="16"/>
      <c r="M240" s="16"/>
      <c r="N240" s="16"/>
      <c r="O240" s="16"/>
      <c r="P240" s="24"/>
      <c r="Q240" s="98"/>
    </row>
    <row r="241" spans="1:27" ht="13" x14ac:dyDescent="0.3">
      <c r="A241" s="23"/>
      <c r="B241" s="120"/>
      <c r="C241" s="38"/>
      <c r="D241" s="98"/>
      <c r="E241" s="98"/>
      <c r="F241" s="98"/>
      <c r="G241" s="31"/>
      <c r="H241" s="98"/>
      <c r="I241" s="98"/>
      <c r="J241" s="98"/>
      <c r="K241" s="98"/>
      <c r="L241" s="98"/>
      <c r="M241" s="98"/>
      <c r="N241" s="98"/>
      <c r="O241" s="98"/>
      <c r="P241" s="24"/>
      <c r="Q241" s="98"/>
    </row>
    <row r="242" spans="1:27" ht="15" thickBot="1" x14ac:dyDescent="0.4">
      <c r="A242" s="23"/>
      <c r="B242" s="1876" t="s">
        <v>695</v>
      </c>
      <c r="C242" s="1864"/>
      <c r="D242" s="1864"/>
      <c r="E242" s="1864"/>
      <c r="F242" s="1864"/>
      <c r="G242" s="31"/>
      <c r="H242" s="98"/>
      <c r="I242" s="98"/>
      <c r="J242" s="98"/>
      <c r="K242" s="98"/>
      <c r="L242" s="98"/>
      <c r="M242" s="98"/>
      <c r="N242" s="98"/>
      <c r="O242" s="98"/>
      <c r="P242" s="24"/>
      <c r="Q242" s="98"/>
    </row>
    <row r="243" spans="1:27" ht="15" thickTop="1" x14ac:dyDescent="0.35">
      <c r="A243" s="23"/>
      <c r="B243" s="383" t="s">
        <v>717</v>
      </c>
      <c r="C243" s="38"/>
      <c r="D243" s="98"/>
      <c r="E243" s="98"/>
      <c r="F243" s="98"/>
      <c r="G243" s="31"/>
      <c r="H243" s="98"/>
      <c r="I243" s="98"/>
      <c r="J243" s="98"/>
      <c r="K243" s="98"/>
      <c r="L243" s="98"/>
      <c r="M243" s="98"/>
      <c r="N243" s="98"/>
      <c r="O243" s="98"/>
      <c r="P243" s="24"/>
      <c r="Q243" s="98"/>
    </row>
    <row r="244" spans="1:27" ht="14.5" x14ac:dyDescent="0.35">
      <c r="A244" s="23"/>
      <c r="B244" s="383"/>
      <c r="C244" s="38"/>
      <c r="D244" s="98"/>
      <c r="E244" s="98"/>
      <c r="F244" s="98"/>
      <c r="G244" s="31"/>
      <c r="H244" s="98"/>
      <c r="I244" s="98"/>
      <c r="J244" s="98"/>
      <c r="K244" s="98"/>
      <c r="L244" s="98"/>
      <c r="M244" s="98"/>
      <c r="N244" s="98"/>
      <c r="O244" s="98"/>
      <c r="P244" s="24"/>
      <c r="Q244" s="98"/>
    </row>
    <row r="245" spans="1:27" ht="14.5" x14ac:dyDescent="0.35">
      <c r="A245" s="23"/>
      <c r="B245" s="383" t="s">
        <v>715</v>
      </c>
      <c r="C245" s="38"/>
      <c r="D245" s="98"/>
      <c r="E245" s="98"/>
      <c r="F245" s="98"/>
      <c r="G245" s="31"/>
      <c r="H245" s="98"/>
      <c r="I245" s="98"/>
      <c r="J245" s="98"/>
      <c r="K245" s="98"/>
      <c r="L245" s="98"/>
      <c r="M245" s="98"/>
      <c r="N245" s="98"/>
      <c r="O245" s="98"/>
      <c r="P245" s="24"/>
      <c r="Q245" s="98"/>
    </row>
    <row r="246" spans="1:27" ht="15" thickBot="1" x14ac:dyDescent="0.4">
      <c r="A246" s="23"/>
      <c r="B246" s="145"/>
      <c r="C246" s="414"/>
      <c r="D246" s="415"/>
      <c r="E246" s="387"/>
      <c r="F246" s="401"/>
      <c r="G246" s="416"/>
      <c r="H246" s="385"/>
      <c r="I246" s="385"/>
      <c r="J246" s="385"/>
      <c r="K246" s="385"/>
      <c r="L246" s="385"/>
      <c r="M246" s="22"/>
      <c r="N246" s="22"/>
      <c r="O246" s="22"/>
      <c r="P246" s="26"/>
      <c r="Q246" s="98"/>
    </row>
    <row r="247" spans="1:27" ht="13" x14ac:dyDescent="0.3">
      <c r="A247" s="23"/>
      <c r="B247" s="18"/>
      <c r="C247" s="38"/>
      <c r="D247" s="98"/>
      <c r="E247" s="98"/>
      <c r="F247" s="98"/>
      <c r="G247" s="31"/>
      <c r="H247" s="98"/>
      <c r="I247" s="98"/>
      <c r="J247" s="98"/>
      <c r="K247" s="98"/>
      <c r="L247" s="98"/>
      <c r="M247" s="98"/>
      <c r="N247" s="98"/>
      <c r="O247" s="98"/>
      <c r="P247" s="98"/>
      <c r="Q247" s="98"/>
    </row>
    <row r="248" spans="1:27" ht="15" thickBot="1" x14ac:dyDescent="0.4">
      <c r="A248" s="23"/>
      <c r="B248" s="98"/>
      <c r="C248" s="38"/>
      <c r="D248" s="98"/>
      <c r="E248" s="98"/>
      <c r="F248" s="98"/>
      <c r="G248" s="98"/>
      <c r="H248" s="98"/>
      <c r="I248" s="98"/>
      <c r="J248" s="98"/>
      <c r="K248" s="98"/>
      <c r="L248" s="98"/>
      <c r="M248" s="98"/>
      <c r="N248" s="98"/>
      <c r="O248" s="98"/>
      <c r="P248" s="98"/>
      <c r="Q248" s="98"/>
      <c r="U248" s="687"/>
      <c r="V248" s="687"/>
      <c r="W248" s="687"/>
      <c r="X248" s="687"/>
    </row>
    <row r="249" spans="1:27" ht="15" thickBot="1" x14ac:dyDescent="0.4">
      <c r="A249" s="23"/>
      <c r="B249" s="1370">
        <f>N174+N211+C237</f>
        <v>22145.785580433338</v>
      </c>
      <c r="C249" s="482" t="str">
        <f>(brew2_abb&amp;" Total Emissions from Manufactured Waste (kg CO2e)")</f>
        <v>2ND Total Emissions from Manufactured Waste (kg CO2e)</v>
      </c>
      <c r="D249" s="435"/>
      <c r="E249" s="1361"/>
      <c r="F249" s="435"/>
      <c r="H249" s="98"/>
      <c r="I249" s="98"/>
      <c r="J249" s="98"/>
      <c r="K249" s="98"/>
      <c r="L249" s="98"/>
      <c r="M249" s="98"/>
      <c r="N249" s="98"/>
      <c r="O249" s="98"/>
      <c r="P249" s="98"/>
      <c r="Q249" s="98"/>
      <c r="W249" s="687"/>
      <c r="X249" s="95" t="s">
        <v>718</v>
      </c>
      <c r="Y249" s="109"/>
      <c r="Z249" s="1893" t="s">
        <v>719</v>
      </c>
      <c r="AA249" s="1893"/>
    </row>
    <row r="250" spans="1:27" ht="15" thickBot="1" x14ac:dyDescent="0.4">
      <c r="A250" s="23"/>
      <c r="B250" s="1371">
        <f>'Brewery-Control Data'!$E$10</f>
        <v>88010.823974999992</v>
      </c>
      <c r="C250" s="381" t="s">
        <v>276</v>
      </c>
      <c r="D250" s="98"/>
      <c r="E250" s="98"/>
      <c r="F250" s="901"/>
      <c r="H250" s="98"/>
      <c r="I250" s="98"/>
      <c r="J250" s="98"/>
      <c r="K250" s="98"/>
      <c r="L250" s="98"/>
      <c r="M250" s="98"/>
      <c r="N250" s="98"/>
      <c r="O250" s="98"/>
      <c r="P250" s="98"/>
      <c r="Q250" s="98"/>
      <c r="R250" s="687"/>
      <c r="T250" s="457"/>
      <c r="U250" s="87"/>
      <c r="V250" s="687"/>
      <c r="W250" s="687"/>
      <c r="X250" s="687"/>
    </row>
    <row r="251" spans="1:27" ht="15" thickBot="1" x14ac:dyDescent="0.4">
      <c r="A251" s="25"/>
      <c r="B251" s="1372">
        <f>B249/B250</f>
        <v>0.25162570443294546</v>
      </c>
      <c r="C251" s="615" t="str">
        <f>(brew2_abb&amp;" Total Emissions from Manufactured Waste (kg CO2e/hL)")</f>
        <v>2ND Total Emissions from Manufactured Waste (kg CO2e/hL)</v>
      </c>
      <c r="D251" s="436"/>
      <c r="E251" s="1373"/>
      <c r="F251" s="436"/>
      <c r="G251" s="687"/>
      <c r="H251" s="687"/>
      <c r="I251" s="687"/>
      <c r="J251" s="687"/>
      <c r="K251" s="687"/>
      <c r="L251" s="687"/>
      <c r="M251" s="687"/>
      <c r="N251" s="687"/>
      <c r="O251" s="687"/>
      <c r="P251" s="687"/>
      <c r="Q251" s="687"/>
      <c r="R251" s="687"/>
      <c r="S251" s="687"/>
      <c r="T251" s="457"/>
      <c r="U251" s="87"/>
      <c r="V251" s="687"/>
      <c r="W251" s="687"/>
      <c r="X251" s="687"/>
    </row>
    <row r="253" spans="1:27" ht="13" thickBot="1" x14ac:dyDescent="0.3"/>
    <row r="254" spans="1:27" ht="16" thickBot="1" x14ac:dyDescent="0.4">
      <c r="A254" s="842" t="s">
        <v>492</v>
      </c>
      <c r="B254" s="847"/>
      <c r="C254" s="198"/>
    </row>
    <row r="255" spans="1:27" ht="16" thickBot="1" x14ac:dyDescent="0.4">
      <c r="A255" s="900"/>
      <c r="B255" s="198"/>
      <c r="C255" s="198"/>
    </row>
    <row r="256" spans="1:27" ht="15.75" customHeight="1" thickBot="1" x14ac:dyDescent="0.35">
      <c r="B256" s="1841" t="s">
        <v>720</v>
      </c>
      <c r="C256" s="1842"/>
      <c r="D256" s="1842"/>
      <c r="E256" s="1842"/>
      <c r="F256" s="1843"/>
      <c r="G256" s="299"/>
    </row>
    <row r="257" spans="2:17" ht="15" thickBot="1" x14ac:dyDescent="0.4">
      <c r="B257" s="1370">
        <f>B125+B249</f>
        <v>44291.571160866675</v>
      </c>
      <c r="C257" s="1362" t="s">
        <v>721</v>
      </c>
      <c r="D257" s="1357"/>
      <c r="E257" s="1357"/>
      <c r="F257" s="1358"/>
      <c r="G257" s="1356"/>
    </row>
    <row r="258" spans="2:17" ht="15" thickBot="1" x14ac:dyDescent="0.4">
      <c r="B258" s="1371">
        <f>'Brewery-Control Data'!$H$10</f>
        <v>211225.97753999999</v>
      </c>
      <c r="C258" s="559" t="s">
        <v>276</v>
      </c>
      <c r="D258" s="1356"/>
      <c r="E258" s="1356"/>
      <c r="F258" s="1359"/>
      <c r="G258" s="1356"/>
    </row>
    <row r="259" spans="2:17" ht="15" thickBot="1" x14ac:dyDescent="0.4">
      <c r="B259" s="1372">
        <f>B257/B258</f>
        <v>0.20968808702745453</v>
      </c>
      <c r="C259" s="1363" t="s">
        <v>722</v>
      </c>
      <c r="D259" s="1355"/>
      <c r="E259" s="1355"/>
      <c r="F259" s="1360"/>
      <c r="G259" s="1356"/>
    </row>
    <row r="260" spans="2:17" ht="14.5" x14ac:dyDescent="0.35">
      <c r="B260" s="687"/>
      <c r="C260" s="687"/>
      <c r="D260" s="687"/>
      <c r="E260" s="687"/>
      <c r="F260" s="687"/>
      <c r="G260" s="687"/>
    </row>
    <row r="263" spans="2:17" ht="16" thickBot="1" x14ac:dyDescent="0.4">
      <c r="B263" s="1678"/>
      <c r="C263" s="1678"/>
      <c r="D263" s="1678"/>
      <c r="E263" s="1678"/>
      <c r="F263" s="1678"/>
      <c r="G263" s="1678"/>
      <c r="H263" s="1678"/>
      <c r="I263" s="1678"/>
      <c r="J263" s="1678"/>
      <c r="K263" s="1678"/>
      <c r="L263" s="1678"/>
      <c r="M263" s="1678"/>
      <c r="N263" s="1678"/>
      <c r="O263" s="1678"/>
      <c r="P263" s="1678"/>
      <c r="Q263" s="1679" t="s">
        <v>72</v>
      </c>
    </row>
    <row r="264" spans="2:17" ht="15" thickTop="1" x14ac:dyDescent="0.35">
      <c r="B264" s="87"/>
      <c r="C264" s="87"/>
      <c r="D264" s="87"/>
      <c r="E264" s="87"/>
      <c r="F264" s="87"/>
      <c r="G264" s="87"/>
      <c r="H264" s="87"/>
      <c r="I264" s="87"/>
      <c r="J264" s="87"/>
      <c r="K264" s="87"/>
      <c r="L264" s="87"/>
      <c r="M264" s="87"/>
      <c r="N264" s="87"/>
      <c r="O264" s="87"/>
      <c r="P264" s="87"/>
      <c r="Q264" s="87"/>
    </row>
  </sheetData>
  <mergeCells count="53">
    <mergeCell ref="Z125:AA125"/>
    <mergeCell ref="B91:F91"/>
    <mergeCell ref="B118:F118"/>
    <mergeCell ref="C101:E101"/>
    <mergeCell ref="G101:J101"/>
    <mergeCell ref="G108:H108"/>
    <mergeCell ref="G107:H107"/>
    <mergeCell ref="G106:H106"/>
    <mergeCell ref="G104:H104"/>
    <mergeCell ref="G103:H103"/>
    <mergeCell ref="G102:H102"/>
    <mergeCell ref="G111:H111"/>
    <mergeCell ref="G109:H109"/>
    <mergeCell ref="B132:I132"/>
    <mergeCell ref="C77:D77"/>
    <mergeCell ref="A1:M1"/>
    <mergeCell ref="B8:I8"/>
    <mergeCell ref="L50:M50"/>
    <mergeCell ref="B55:F55"/>
    <mergeCell ref="L51:M51"/>
    <mergeCell ref="L52:M52"/>
    <mergeCell ref="M77:O77"/>
    <mergeCell ref="L89:M89"/>
    <mergeCell ref="L87:M87"/>
    <mergeCell ref="B62:F62"/>
    <mergeCell ref="M76:O76"/>
    <mergeCell ref="L88:M88"/>
    <mergeCell ref="H3:M4"/>
    <mergeCell ref="Z249:AA249"/>
    <mergeCell ref="B186:F186"/>
    <mergeCell ref="L211:M211"/>
    <mergeCell ref="L212:M212"/>
    <mergeCell ref="L213:M213"/>
    <mergeCell ref="B215:F215"/>
    <mergeCell ref="C201:D201"/>
    <mergeCell ref="M201:O201"/>
    <mergeCell ref="B256:F256"/>
    <mergeCell ref="B242:F242"/>
    <mergeCell ref="C225:E225"/>
    <mergeCell ref="G225:J225"/>
    <mergeCell ref="G226:H226"/>
    <mergeCell ref="G227:H227"/>
    <mergeCell ref="G228:H228"/>
    <mergeCell ref="G230:H230"/>
    <mergeCell ref="G233:H233"/>
    <mergeCell ref="G231:H231"/>
    <mergeCell ref="G232:H232"/>
    <mergeCell ref="G235:H235"/>
    <mergeCell ref="L174:M174"/>
    <mergeCell ref="L175:M175"/>
    <mergeCell ref="L176:M176"/>
    <mergeCell ref="B179:F179"/>
    <mergeCell ref="M200:O200"/>
  </mergeCells>
  <phoneticPr fontId="44" type="noConversion"/>
  <hyperlinks>
    <hyperlink ref="B4" location="'Glossary-FAQs'!A1" display="Glossary/FAQ" xr:uid="{8B523037-F449-401B-8293-15046DBD3AFB}"/>
    <hyperlink ref="C3" location="'Welcome'!C15" display="  = Data entry needed. See color legend on Welcome tab for more info.  " xr:uid="{F59ACCD4-7893-43DD-8C40-9725043C29B4}"/>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70C0"/>
  </sheetPr>
  <dimension ref="A1:P161"/>
  <sheetViews>
    <sheetView zoomScaleNormal="100" workbookViewId="0">
      <selection activeCell="A2" sqref="A2"/>
    </sheetView>
  </sheetViews>
  <sheetFormatPr defaultColWidth="14.26953125" defaultRowHeight="14.5" x14ac:dyDescent="0.35"/>
  <cols>
    <col min="1" max="1" width="5.1796875" style="687" customWidth="1"/>
    <col min="2" max="2" width="19.81640625" customWidth="1"/>
    <col min="3" max="3" width="19.1796875" customWidth="1"/>
    <col min="4" max="4" width="19.1796875" style="687" customWidth="1"/>
    <col min="5" max="5" width="22.26953125" customWidth="1"/>
    <col min="6" max="6" width="28.7265625" customWidth="1"/>
    <col min="7" max="7" width="19.81640625" bestFit="1" customWidth="1"/>
    <col min="8" max="8" width="33.453125" style="514" bestFit="1" customWidth="1"/>
    <col min="9" max="9" width="4.7265625" style="514" customWidth="1"/>
    <col min="10" max="10" width="20.453125" style="42" customWidth="1"/>
    <col min="11" max="11" width="20.453125" style="178" customWidth="1"/>
    <col min="12" max="12" width="11.26953125" bestFit="1" customWidth="1"/>
    <col min="13" max="13" width="11.26953125" customWidth="1"/>
    <col min="14" max="14" width="21" style="178" customWidth="1"/>
  </cols>
  <sheetData>
    <row r="1" spans="1:14" ht="21.5" thickBot="1" x14ac:dyDescent="0.55000000000000004">
      <c r="A1" s="1833" t="s">
        <v>188</v>
      </c>
      <c r="B1" s="1834"/>
      <c r="C1" s="1834"/>
      <c r="D1" s="1834"/>
      <c r="E1" s="1834"/>
      <c r="F1" s="1834"/>
      <c r="G1" s="1834"/>
      <c r="H1" s="1835"/>
      <c r="I1" s="1490"/>
      <c r="J1" s="1490"/>
      <c r="K1" s="915"/>
      <c r="L1" s="687"/>
      <c r="M1" s="687"/>
    </row>
    <row r="2" spans="1:14" x14ac:dyDescent="0.35">
      <c r="B2" s="687"/>
      <c r="C2" s="687"/>
      <c r="E2" s="687"/>
      <c r="F2" s="1550" t="s">
        <v>264</v>
      </c>
      <c r="G2" s="687"/>
      <c r="H2" s="687"/>
      <c r="I2" s="687"/>
      <c r="L2" s="687"/>
      <c r="M2" s="249"/>
      <c r="N2" s="249"/>
    </row>
    <row r="3" spans="1:14" ht="14.5" customHeight="1" x14ac:dyDescent="0.35">
      <c r="B3" s="1558" t="s">
        <v>265</v>
      </c>
      <c r="C3" s="1617" t="s">
        <v>432</v>
      </c>
      <c r="D3" s="513"/>
      <c r="E3" s="513"/>
      <c r="F3" s="1863" t="s">
        <v>723</v>
      </c>
      <c r="G3" s="1863"/>
      <c r="H3" s="1863"/>
      <c r="I3" s="1552"/>
      <c r="J3" s="706"/>
      <c r="K3" s="250"/>
      <c r="L3" s="250"/>
      <c r="M3" s="250"/>
      <c r="N3" s="44"/>
    </row>
    <row r="4" spans="1:14" x14ac:dyDescent="0.35">
      <c r="B4" s="1667" t="s">
        <v>268</v>
      </c>
      <c r="C4" s="44"/>
      <c r="D4" s="44"/>
      <c r="E4" s="44"/>
      <c r="F4" s="1863"/>
      <c r="G4" s="1863"/>
      <c r="H4" s="1863"/>
      <c r="I4" s="44"/>
      <c r="J4" s="94"/>
      <c r="K4" s="44"/>
      <c r="L4" s="44"/>
      <c r="M4" s="687"/>
      <c r="N4" s="44"/>
    </row>
    <row r="5" spans="1:14" ht="16.5" customHeight="1" x14ac:dyDescent="0.35">
      <c r="B5" s="243"/>
      <c r="C5" s="243"/>
      <c r="D5" s="243"/>
      <c r="E5" s="243"/>
      <c r="F5" s="1863"/>
      <c r="G5" s="1863"/>
      <c r="H5" s="1863"/>
      <c r="I5" s="243"/>
      <c r="J5" s="272"/>
      <c r="K5" s="828"/>
      <c r="L5" s="828"/>
      <c r="M5" s="828"/>
      <c r="N5" s="828"/>
    </row>
    <row r="6" spans="1:14" s="687" customFormat="1" ht="16.5" customHeight="1" thickBot="1" x14ac:dyDescent="0.4">
      <c r="B6" s="243"/>
      <c r="C6" s="243"/>
      <c r="D6" s="243"/>
      <c r="E6" s="243"/>
      <c r="F6" s="1635"/>
      <c r="G6" s="1635"/>
      <c r="H6" s="1635"/>
      <c r="I6" s="243"/>
      <c r="J6" s="272"/>
      <c r="K6" s="828"/>
      <c r="L6" s="828"/>
      <c r="M6" s="828"/>
      <c r="N6" s="828"/>
    </row>
    <row r="7" spans="1:14" ht="18.5" thickBot="1" x14ac:dyDescent="0.4">
      <c r="B7" s="1910">
        <f>ghg_year</f>
        <v>2020</v>
      </c>
      <c r="C7" s="1911"/>
      <c r="D7" s="1911"/>
      <c r="E7" s="1911"/>
      <c r="F7" s="1911"/>
      <c r="G7" s="1911"/>
      <c r="H7" s="1912"/>
      <c r="I7" s="243"/>
      <c r="J7" s="272"/>
      <c r="K7" s="1170"/>
      <c r="L7" s="828"/>
      <c r="M7" s="828"/>
      <c r="N7" s="828"/>
    </row>
    <row r="8" spans="1:14" ht="49.5" customHeight="1" x14ac:dyDescent="0.35">
      <c r="B8" s="1144" t="s">
        <v>724</v>
      </c>
      <c r="C8" s="1145" t="s">
        <v>725</v>
      </c>
      <c r="D8" s="1144" t="s">
        <v>726</v>
      </c>
      <c r="E8" s="1145" t="s">
        <v>727</v>
      </c>
      <c r="F8" s="1144" t="s">
        <v>728</v>
      </c>
      <c r="G8" s="1146" t="s">
        <v>276</v>
      </c>
      <c r="H8" s="1141" t="s">
        <v>729</v>
      </c>
      <c r="I8" s="1142"/>
      <c r="J8" s="272"/>
      <c r="K8" s="1626"/>
      <c r="L8" s="1660"/>
      <c r="M8" s="1660"/>
      <c r="N8" s="1660"/>
    </row>
    <row r="9" spans="1:14" x14ac:dyDescent="0.35">
      <c r="B9" s="1159" t="s">
        <v>730</v>
      </c>
      <c r="C9" s="1239">
        <f>F9*E9</f>
        <v>400</v>
      </c>
      <c r="D9" s="1598">
        <v>100</v>
      </c>
      <c r="E9" s="1599">
        <v>0.08</v>
      </c>
      <c r="F9" s="1183">
        <v>5000</v>
      </c>
      <c r="G9" s="831"/>
      <c r="H9" s="712">
        <f>C9/$G$17</f>
        <v>1.8937064685817433E-3</v>
      </c>
      <c r="I9" s="243"/>
      <c r="J9" s="272"/>
      <c r="K9" s="828"/>
      <c r="L9" s="828"/>
      <c r="M9" s="828"/>
      <c r="N9" s="828"/>
    </row>
    <row r="10" spans="1:14" x14ac:dyDescent="0.35">
      <c r="B10" s="1159" t="s">
        <v>731</v>
      </c>
      <c r="C10" s="1239">
        <f t="shared" ref="C10:C13" si="0">F10/D10*E10</f>
        <v>4233.3333333333339</v>
      </c>
      <c r="D10" s="1598">
        <v>42</v>
      </c>
      <c r="E10" s="1599">
        <v>8.89</v>
      </c>
      <c r="F10" s="1183">
        <v>20000</v>
      </c>
      <c r="G10" s="831"/>
      <c r="H10" s="712">
        <f t="shared" ref="H10:H16" si="1">C10/$G$17</f>
        <v>2.0041726792490118E-2</v>
      </c>
      <c r="I10" s="243"/>
      <c r="J10" s="272"/>
      <c r="K10" s="828"/>
      <c r="L10" s="828"/>
      <c r="M10" s="828"/>
      <c r="N10" s="828"/>
    </row>
    <row r="11" spans="1:14" ht="15.75" customHeight="1" x14ac:dyDescent="0.35">
      <c r="B11" s="1159" t="s">
        <v>732</v>
      </c>
      <c r="C11" s="1239">
        <f t="shared" si="0"/>
        <v>11595.652173913044</v>
      </c>
      <c r="D11" s="1598">
        <v>23</v>
      </c>
      <c r="E11" s="1599">
        <v>8.89</v>
      </c>
      <c r="F11" s="1183">
        <v>30000</v>
      </c>
      <c r="G11" s="831"/>
      <c r="H11" s="712">
        <f t="shared" si="1"/>
        <v>5.4896903822907711E-2</v>
      </c>
      <c r="I11" s="243"/>
      <c r="J11" s="272"/>
      <c r="K11" s="828"/>
      <c r="L11" s="828"/>
      <c r="M11" s="828"/>
      <c r="N11" s="828"/>
    </row>
    <row r="12" spans="1:14" ht="15.75" customHeight="1" x14ac:dyDescent="0.35">
      <c r="B12" s="1159" t="s">
        <v>131</v>
      </c>
      <c r="C12" s="1239">
        <f t="shared" si="0"/>
        <v>4445</v>
      </c>
      <c r="D12" s="1598">
        <v>20</v>
      </c>
      <c r="E12" s="1599">
        <v>8.89</v>
      </c>
      <c r="F12" s="1183">
        <v>10000</v>
      </c>
      <c r="G12" s="831"/>
      <c r="H12" s="712">
        <f t="shared" si="1"/>
        <v>2.1043813132114623E-2</v>
      </c>
      <c r="I12" s="243"/>
      <c r="J12" s="272"/>
      <c r="K12" s="828"/>
      <c r="L12" s="828"/>
      <c r="M12" s="828"/>
      <c r="N12" s="828"/>
    </row>
    <row r="13" spans="1:14" ht="15.75" customHeight="1" x14ac:dyDescent="0.35">
      <c r="B13" s="1159" t="s">
        <v>733</v>
      </c>
      <c r="C13" s="1239">
        <f t="shared" si="0"/>
        <v>26933.333333333332</v>
      </c>
      <c r="D13" s="1598">
        <v>7.5</v>
      </c>
      <c r="E13" s="1599">
        <v>10.1</v>
      </c>
      <c r="F13" s="1183">
        <v>20000</v>
      </c>
      <c r="G13" s="831"/>
      <c r="H13" s="712">
        <f t="shared" si="1"/>
        <v>0.12750956888450404</v>
      </c>
      <c r="I13" s="243"/>
      <c r="J13" s="272"/>
      <c r="K13" s="828"/>
      <c r="L13" s="828"/>
      <c r="M13" s="828"/>
      <c r="N13" s="828"/>
    </row>
    <row r="14" spans="1:14" x14ac:dyDescent="0.35">
      <c r="B14" s="1159"/>
      <c r="C14" s="1239"/>
      <c r="D14" s="1183"/>
      <c r="E14" s="1600"/>
      <c r="F14" s="1183"/>
      <c r="G14" s="831"/>
      <c r="H14" s="712">
        <f t="shared" si="1"/>
        <v>0</v>
      </c>
      <c r="I14" s="243"/>
      <c r="J14" s="272"/>
      <c r="K14" s="828"/>
      <c r="L14" s="828"/>
      <c r="M14" s="828"/>
      <c r="N14" s="828"/>
    </row>
    <row r="15" spans="1:14" ht="15.75" customHeight="1" x14ac:dyDescent="0.35">
      <c r="B15" s="1159"/>
      <c r="C15" s="1239"/>
      <c r="D15" s="1183"/>
      <c r="E15" s="1600"/>
      <c r="F15" s="1183"/>
      <c r="G15" s="831"/>
      <c r="H15" s="712">
        <f t="shared" si="1"/>
        <v>0</v>
      </c>
      <c r="I15" s="243"/>
      <c r="J15" s="272"/>
      <c r="K15" s="828"/>
      <c r="L15" s="828"/>
      <c r="M15" s="828"/>
      <c r="N15" s="828"/>
    </row>
    <row r="16" spans="1:14" ht="15.75" customHeight="1" thickBot="1" x14ac:dyDescent="0.4">
      <c r="B16" s="1159"/>
      <c r="C16" s="1239"/>
      <c r="D16" s="1183"/>
      <c r="E16" s="1600"/>
      <c r="F16" s="1183"/>
      <c r="G16" s="831"/>
      <c r="H16" s="712">
        <f t="shared" si="1"/>
        <v>0</v>
      </c>
      <c r="I16" s="243"/>
      <c r="J16" s="272"/>
      <c r="K16" s="828"/>
      <c r="L16" s="828"/>
      <c r="M16" s="828"/>
      <c r="N16" s="828"/>
    </row>
    <row r="17" spans="1:14" ht="15" thickBot="1" x14ac:dyDescent="0.4">
      <c r="B17" s="719" t="s">
        <v>623</v>
      </c>
      <c r="C17" s="868">
        <f>SUM(C9:C16)</f>
        <v>47607.318840579712</v>
      </c>
      <c r="D17" s="868"/>
      <c r="E17" s="1143"/>
      <c r="F17" s="868">
        <f>SUM(F9:F16)</f>
        <v>85000</v>
      </c>
      <c r="G17" s="868">
        <f>'Brewery-Control Data'!$H$10</f>
        <v>211225.97753999999</v>
      </c>
      <c r="H17" s="713">
        <f>C17/G17</f>
        <v>0.22538571910059824</v>
      </c>
      <c r="I17" s="1160"/>
      <c r="J17" s="272"/>
      <c r="K17" s="828"/>
      <c r="L17" s="828"/>
      <c r="M17" s="828"/>
      <c r="N17" s="828"/>
    </row>
    <row r="18" spans="1:14" ht="15" customHeight="1" x14ac:dyDescent="0.35">
      <c r="B18" s="687"/>
      <c r="C18" s="687"/>
      <c r="E18" s="687"/>
      <c r="F18" s="687"/>
      <c r="G18" s="687"/>
      <c r="H18" s="687"/>
      <c r="I18" s="243"/>
      <c r="J18" s="272"/>
      <c r="K18" s="828"/>
      <c r="L18" s="828"/>
      <c r="M18" s="828"/>
      <c r="N18" s="828"/>
    </row>
    <row r="19" spans="1:14" s="687" customFormat="1" ht="15" customHeight="1" x14ac:dyDescent="0.35">
      <c r="I19" s="243"/>
      <c r="J19" s="272"/>
      <c r="K19" s="828"/>
      <c r="L19" s="828"/>
      <c r="M19" s="828"/>
      <c r="N19" s="828"/>
    </row>
    <row r="20" spans="1:14" s="514" customFormat="1" ht="15" customHeight="1" x14ac:dyDescent="0.35">
      <c r="A20" s="687"/>
      <c r="B20" s="687"/>
      <c r="C20" s="687"/>
      <c r="D20" s="687"/>
      <c r="E20" s="687"/>
      <c r="F20" s="687"/>
      <c r="G20" s="687"/>
      <c r="H20" s="687"/>
      <c r="I20" s="243"/>
      <c r="J20" s="272"/>
      <c r="K20" s="828"/>
      <c r="L20" s="828"/>
      <c r="M20" s="828"/>
      <c r="N20" s="828"/>
    </row>
    <row r="21" spans="1:14" ht="15" customHeight="1" x14ac:dyDescent="0.35">
      <c r="B21" s="687"/>
      <c r="C21" s="687"/>
      <c r="E21" s="687"/>
      <c r="F21" s="687"/>
      <c r="G21" s="87"/>
      <c r="H21" s="457"/>
      <c r="I21" s="457"/>
      <c r="J21" s="707"/>
      <c r="K21" s="105"/>
      <c r="L21" s="105"/>
      <c r="M21" s="105"/>
      <c r="N21" s="105"/>
    </row>
    <row r="22" spans="1:14" ht="15" customHeight="1" thickBot="1" x14ac:dyDescent="0.4">
      <c r="A22" s="916" t="s">
        <v>695</v>
      </c>
      <c r="B22" s="916"/>
      <c r="C22" s="916"/>
      <c r="D22" s="916"/>
      <c r="E22" s="916"/>
      <c r="F22" s="916"/>
      <c r="G22" s="916"/>
      <c r="H22" s="457"/>
      <c r="I22" s="457"/>
      <c r="J22" s="707"/>
      <c r="K22" s="105"/>
      <c r="L22" s="105"/>
      <c r="M22" s="105"/>
      <c r="N22" s="105"/>
    </row>
    <row r="23" spans="1:14" ht="15" thickTop="1" x14ac:dyDescent="0.35">
      <c r="B23" s="688" t="s">
        <v>734</v>
      </c>
      <c r="C23" s="1696"/>
      <c r="D23" s="1696"/>
      <c r="E23" s="1696"/>
      <c r="F23" s="1696"/>
      <c r="G23" s="1696"/>
      <c r="H23" s="457"/>
      <c r="I23" s="457"/>
      <c r="J23" s="707"/>
      <c r="K23" s="105"/>
      <c r="L23" s="105"/>
      <c r="M23" s="105"/>
      <c r="N23" s="105"/>
    </row>
    <row r="24" spans="1:14" s="687" customFormat="1" ht="15" customHeight="1" x14ac:dyDescent="0.35">
      <c r="B24" s="687" t="s">
        <v>735</v>
      </c>
      <c r="J24" s="42"/>
      <c r="K24" s="178"/>
      <c r="N24" s="178"/>
    </row>
    <row r="25" spans="1:14" s="687" customFormat="1" ht="15" customHeight="1" x14ac:dyDescent="0.35">
      <c r="J25" s="42"/>
      <c r="K25" s="178"/>
      <c r="N25" s="178"/>
    </row>
    <row r="26" spans="1:14" s="687" customFormat="1" ht="15" customHeight="1" x14ac:dyDescent="0.35">
      <c r="B26" s="688" t="s">
        <v>736</v>
      </c>
      <c r="J26" s="42"/>
      <c r="K26" s="178"/>
      <c r="N26" s="178"/>
    </row>
    <row r="27" spans="1:14" s="687" customFormat="1" ht="15" customHeight="1" x14ac:dyDescent="0.35">
      <c r="B27" s="687" t="s">
        <v>737</v>
      </c>
      <c r="J27" s="42"/>
      <c r="K27" s="178"/>
      <c r="N27" s="178"/>
    </row>
    <row r="28" spans="1:14" s="514" customFormat="1" ht="15.75" customHeight="1" x14ac:dyDescent="0.35">
      <c r="A28" s="687"/>
      <c r="B28" s="687" t="s">
        <v>738</v>
      </c>
      <c r="C28" s="687"/>
      <c r="D28" s="687"/>
      <c r="E28" s="687"/>
      <c r="F28" s="687"/>
      <c r="G28" s="687"/>
      <c r="H28" s="687"/>
      <c r="I28" s="687"/>
      <c r="J28" s="42"/>
      <c r="K28" s="178"/>
      <c r="L28" s="687"/>
      <c r="M28" s="687"/>
      <c r="N28" s="178"/>
    </row>
    <row r="29" spans="1:14" s="687" customFormat="1" ht="15.75" customHeight="1" x14ac:dyDescent="0.35">
      <c r="J29" s="42"/>
      <c r="K29" s="178"/>
      <c r="N29" s="178"/>
    </row>
    <row r="30" spans="1:14" s="514" customFormat="1" ht="15.75" customHeight="1" x14ac:dyDescent="0.35">
      <c r="A30" s="687"/>
      <c r="B30" s="688" t="s">
        <v>739</v>
      </c>
      <c r="C30" s="687"/>
      <c r="D30" s="687"/>
      <c r="E30" s="687"/>
      <c r="F30" s="687"/>
      <c r="G30" s="687"/>
      <c r="H30" s="687"/>
      <c r="I30" s="687"/>
      <c r="J30" s="42"/>
      <c r="K30" s="178"/>
      <c r="L30" s="687"/>
      <c r="M30" s="687"/>
      <c r="N30" s="178"/>
    </row>
    <row r="31" spans="1:14" s="514" customFormat="1" ht="15.75" customHeight="1" x14ac:dyDescent="0.35">
      <c r="A31" s="687"/>
      <c r="B31" s="687" t="s">
        <v>740</v>
      </c>
      <c r="C31" s="687"/>
      <c r="D31" s="687"/>
      <c r="E31" s="687"/>
      <c r="F31" s="687"/>
      <c r="G31" s="687"/>
      <c r="H31" s="687"/>
      <c r="I31" s="687"/>
      <c r="J31" s="42"/>
      <c r="K31" s="178"/>
      <c r="L31" s="687"/>
      <c r="M31" s="687"/>
      <c r="N31" s="178"/>
    </row>
    <row r="32" spans="1:14" s="687" customFormat="1" ht="15.75" customHeight="1" x14ac:dyDescent="0.35">
      <c r="J32" s="42"/>
      <c r="K32" s="178"/>
      <c r="N32" s="178"/>
    </row>
    <row r="33" spans="1:16" s="687" customFormat="1" ht="15.75" customHeight="1" x14ac:dyDescent="0.35">
      <c r="J33" s="42"/>
      <c r="K33" s="178"/>
      <c r="N33" s="178"/>
    </row>
    <row r="34" spans="1:16" s="687" customFormat="1" ht="15.75" customHeight="1" x14ac:dyDescent="0.35">
      <c r="J34" s="42"/>
      <c r="K34" s="178"/>
      <c r="N34" s="178"/>
    </row>
    <row r="35" spans="1:16" s="687" customFormat="1" ht="15.75" customHeight="1" x14ac:dyDescent="0.35">
      <c r="J35" s="42"/>
      <c r="K35" s="178"/>
      <c r="N35" s="178"/>
    </row>
    <row r="36" spans="1:16" s="687" customFormat="1" ht="15.75" customHeight="1" x14ac:dyDescent="0.35">
      <c r="J36" s="42"/>
      <c r="K36" s="178"/>
      <c r="N36" s="178"/>
    </row>
    <row r="37" spans="1:16" s="687" customFormat="1" ht="15.75" customHeight="1" x14ac:dyDescent="0.35">
      <c r="J37" s="42"/>
      <c r="K37" s="178"/>
      <c r="N37" s="178"/>
    </row>
    <row r="38" spans="1:16" s="687" customFormat="1" ht="15.75" customHeight="1" x14ac:dyDescent="0.35">
      <c r="J38" s="42"/>
      <c r="K38" s="178"/>
      <c r="N38" s="178"/>
    </row>
    <row r="39" spans="1:16" s="687" customFormat="1" ht="15.75" customHeight="1" x14ac:dyDescent="0.35">
      <c r="J39" s="42"/>
      <c r="K39" s="178"/>
      <c r="N39" s="178"/>
    </row>
    <row r="40" spans="1:16" s="687" customFormat="1" ht="15.75" customHeight="1" x14ac:dyDescent="0.35">
      <c r="J40" s="42"/>
      <c r="K40" s="178"/>
      <c r="N40" s="178"/>
    </row>
    <row r="41" spans="1:16" s="687" customFormat="1" ht="15.75" customHeight="1" x14ac:dyDescent="0.35">
      <c r="J41" s="42"/>
      <c r="K41" s="178"/>
      <c r="N41" s="178"/>
    </row>
    <row r="42" spans="1:16" s="687" customFormat="1" ht="15.75" customHeight="1" x14ac:dyDescent="0.35">
      <c r="J42" s="42"/>
      <c r="K42" s="178"/>
      <c r="N42" s="178"/>
    </row>
    <row r="43" spans="1:16" s="687" customFormat="1" ht="15.75" customHeight="1" x14ac:dyDescent="0.35">
      <c r="J43" s="42"/>
      <c r="K43" s="178"/>
      <c r="N43" s="178"/>
    </row>
    <row r="44" spans="1:16" s="687" customFormat="1" ht="15.75" customHeight="1" x14ac:dyDescent="0.35">
      <c r="J44" s="42"/>
      <c r="K44" s="178"/>
      <c r="N44" s="178"/>
    </row>
    <row r="45" spans="1:16" s="687" customFormat="1" ht="15.75" customHeight="1" x14ac:dyDescent="0.35">
      <c r="J45" s="42"/>
      <c r="K45" s="178"/>
      <c r="N45" s="178"/>
    </row>
    <row r="46" spans="1:16" s="687" customFormat="1" ht="15.75" customHeight="1" x14ac:dyDescent="0.35">
      <c r="J46" s="42"/>
      <c r="K46" s="178"/>
      <c r="N46" s="178"/>
    </row>
    <row r="47" spans="1:16" ht="15.65" customHeight="1" x14ac:dyDescent="0.35">
      <c r="B47" s="687"/>
      <c r="C47" s="687"/>
      <c r="E47" s="687"/>
      <c r="F47" s="687"/>
      <c r="G47" s="687"/>
      <c r="H47" s="687"/>
      <c r="I47" s="687"/>
      <c r="L47" s="687"/>
      <c r="M47" s="687"/>
      <c r="O47" s="687"/>
      <c r="P47" s="687"/>
    </row>
    <row r="48" spans="1:16" ht="15.75" customHeight="1" thickBot="1" x14ac:dyDescent="0.4">
      <c r="A48" s="1678"/>
      <c r="B48" s="1678"/>
      <c r="C48" s="1678"/>
      <c r="D48" s="1678"/>
      <c r="E48" s="1678"/>
      <c r="F48" s="1678"/>
      <c r="G48" s="1678"/>
      <c r="H48" s="1679" t="s">
        <v>72</v>
      </c>
      <c r="I48" s="1680"/>
      <c r="J48" s="1680"/>
      <c r="K48" s="1680"/>
      <c r="L48" s="1680"/>
      <c r="M48" s="1680"/>
      <c r="N48" s="1680"/>
      <c r="O48" s="1680"/>
      <c r="P48" s="1681"/>
    </row>
    <row r="49" spans="1:16" ht="15.75" customHeight="1" thickTop="1" x14ac:dyDescent="0.35">
      <c r="A49" s="87"/>
      <c r="B49" s="87"/>
      <c r="C49" s="87"/>
      <c r="D49" s="87"/>
      <c r="E49" s="87"/>
      <c r="F49" s="87"/>
      <c r="G49" s="87"/>
      <c r="H49" s="87"/>
      <c r="I49" s="457"/>
      <c r="J49" s="457"/>
      <c r="K49" s="457"/>
      <c r="L49" s="457"/>
      <c r="M49" s="457"/>
      <c r="N49" s="457"/>
      <c r="O49" s="457"/>
      <c r="P49" s="457"/>
    </row>
    <row r="50" spans="1:16" ht="15.75" customHeight="1" x14ac:dyDescent="0.35">
      <c r="B50" s="687"/>
      <c r="C50" s="687"/>
      <c r="E50" s="687"/>
      <c r="F50" s="687"/>
      <c r="G50" s="687"/>
      <c r="H50" s="687"/>
      <c r="I50" s="687"/>
      <c r="L50" s="687"/>
      <c r="M50" s="687"/>
      <c r="O50" s="687"/>
      <c r="P50" s="687"/>
    </row>
    <row r="51" spans="1:16" ht="15.75" customHeight="1" x14ac:dyDescent="0.35">
      <c r="B51" s="687"/>
      <c r="C51" s="687"/>
      <c r="E51" s="687"/>
      <c r="F51" s="687"/>
      <c r="G51" s="687"/>
      <c r="H51" s="687"/>
      <c r="I51" s="687"/>
      <c r="L51" s="687"/>
      <c r="M51" s="687"/>
      <c r="O51" s="687"/>
      <c r="P51" s="687"/>
    </row>
    <row r="52" spans="1:16" ht="15.75" customHeight="1" x14ac:dyDescent="0.35">
      <c r="B52" s="687"/>
      <c r="C52" s="687"/>
      <c r="E52" s="687"/>
      <c r="F52" s="687"/>
      <c r="G52" s="687"/>
      <c r="H52" s="687"/>
      <c r="I52" s="687"/>
      <c r="L52" s="687"/>
      <c r="M52" s="687"/>
      <c r="O52" s="687"/>
      <c r="P52" s="687"/>
    </row>
    <row r="53" spans="1:16" ht="15.75" customHeight="1" x14ac:dyDescent="0.35">
      <c r="B53" s="687"/>
      <c r="C53" s="687"/>
      <c r="E53" s="687"/>
      <c r="F53" s="687"/>
      <c r="G53" s="687"/>
      <c r="H53" s="687"/>
      <c r="I53" s="687"/>
      <c r="L53" s="687"/>
      <c r="M53" s="687"/>
      <c r="O53" s="687"/>
      <c r="P53" s="687"/>
    </row>
    <row r="54" spans="1:16" ht="15.75" customHeight="1" x14ac:dyDescent="0.35">
      <c r="B54" s="687"/>
      <c r="C54" s="687"/>
      <c r="E54" s="687"/>
      <c r="F54" s="687"/>
      <c r="G54" s="687"/>
      <c r="H54" s="687"/>
      <c r="I54" s="687"/>
      <c r="L54" s="687"/>
      <c r="M54" s="687"/>
      <c r="O54" s="687"/>
      <c r="P54" s="687"/>
    </row>
    <row r="55" spans="1:16" ht="15.75" customHeight="1" x14ac:dyDescent="0.35">
      <c r="B55" s="687"/>
      <c r="C55" s="687"/>
      <c r="E55" s="687"/>
      <c r="F55" s="687"/>
      <c r="G55" s="687"/>
      <c r="H55" s="687"/>
      <c r="I55" s="687"/>
      <c r="L55" s="687"/>
      <c r="M55" s="687"/>
      <c r="O55" s="687"/>
      <c r="P55" s="687"/>
    </row>
    <row r="56" spans="1:16" ht="15.75" customHeight="1" x14ac:dyDescent="0.35">
      <c r="B56" s="687"/>
      <c r="C56" s="687"/>
      <c r="E56" s="687"/>
      <c r="F56" s="687"/>
      <c r="G56" s="687"/>
      <c r="H56" s="687"/>
      <c r="I56" s="687"/>
      <c r="L56" s="687"/>
      <c r="M56" s="687"/>
      <c r="O56" s="687"/>
      <c r="P56" s="687"/>
    </row>
    <row r="57" spans="1:16" ht="15.75" customHeight="1" x14ac:dyDescent="0.35">
      <c r="B57" s="687"/>
      <c r="C57" s="687"/>
      <c r="E57" s="687"/>
      <c r="F57" s="687"/>
      <c r="G57" s="687"/>
      <c r="H57" s="687"/>
      <c r="I57" s="687"/>
      <c r="L57" s="687"/>
      <c r="M57" s="687"/>
      <c r="O57" s="687"/>
      <c r="P57" s="687"/>
    </row>
    <row r="58" spans="1:16" ht="15.75" customHeight="1" x14ac:dyDescent="0.35">
      <c r="B58" s="687"/>
      <c r="C58" s="687"/>
      <c r="E58" s="687"/>
      <c r="F58" s="687"/>
      <c r="G58" s="687"/>
      <c r="H58" s="687"/>
      <c r="I58" s="687"/>
      <c r="L58" s="687"/>
      <c r="M58" s="687"/>
      <c r="O58" s="687"/>
      <c r="P58" s="687"/>
    </row>
    <row r="59" spans="1:16" s="687" customFormat="1" ht="15.75" customHeight="1" x14ac:dyDescent="0.35">
      <c r="J59" s="42"/>
      <c r="K59" s="178"/>
      <c r="N59" s="178"/>
    </row>
    <row r="60" spans="1:16" ht="15.75" customHeight="1" x14ac:dyDescent="0.35">
      <c r="B60" s="687"/>
      <c r="C60" s="687"/>
      <c r="E60" s="687"/>
      <c r="F60" s="687"/>
      <c r="G60" s="687"/>
      <c r="H60" s="687"/>
      <c r="I60" s="687"/>
      <c r="L60" s="687"/>
      <c r="M60" s="687"/>
      <c r="O60" s="687"/>
      <c r="P60" s="687"/>
    </row>
    <row r="61" spans="1:16" s="687" customFormat="1" ht="15.75" customHeight="1" x14ac:dyDescent="0.35">
      <c r="J61" s="42"/>
      <c r="K61" s="178"/>
      <c r="N61" s="178"/>
    </row>
    <row r="62" spans="1:16" ht="15.75" customHeight="1" x14ac:dyDescent="0.35">
      <c r="B62" s="687"/>
      <c r="C62" s="687"/>
      <c r="E62" s="687"/>
      <c r="F62" s="687"/>
      <c r="G62" s="687"/>
      <c r="H62" s="687"/>
      <c r="I62" s="687"/>
      <c r="L62" s="687"/>
      <c r="M62" s="687"/>
      <c r="O62" s="687"/>
      <c r="P62" s="687"/>
    </row>
    <row r="63" spans="1:16" s="687" customFormat="1" ht="15.75" customHeight="1" x14ac:dyDescent="0.35">
      <c r="J63" s="42"/>
      <c r="K63" s="178"/>
      <c r="N63" s="178"/>
    </row>
    <row r="64" spans="1:16" x14ac:dyDescent="0.35">
      <c r="B64" s="687"/>
      <c r="C64" s="687"/>
      <c r="E64" s="687"/>
      <c r="F64" s="687"/>
      <c r="G64" s="687"/>
      <c r="H64" s="687"/>
      <c r="I64" s="687"/>
      <c r="L64" s="687"/>
      <c r="M64" s="687"/>
      <c r="O64" s="687"/>
      <c r="P64" s="687"/>
    </row>
    <row r="65" spans="1:14" ht="15" customHeight="1" x14ac:dyDescent="0.35">
      <c r="B65" s="687"/>
      <c r="C65" s="687"/>
      <c r="E65" s="687"/>
      <c r="F65" s="687"/>
      <c r="G65" s="687"/>
      <c r="H65" s="687"/>
      <c r="I65" s="687"/>
      <c r="L65" s="687"/>
      <c r="M65" s="687"/>
    </row>
    <row r="66" spans="1:14" s="514" customFormat="1" ht="15" customHeight="1" x14ac:dyDescent="0.35">
      <c r="A66" s="687"/>
      <c r="B66" s="687"/>
      <c r="C66" s="687"/>
      <c r="D66" s="687"/>
      <c r="E66" s="687"/>
      <c r="F66" s="687"/>
      <c r="G66" s="687"/>
      <c r="H66" s="687"/>
      <c r="I66" s="687"/>
      <c r="J66" s="42"/>
      <c r="K66" s="178"/>
      <c r="L66" s="687"/>
      <c r="M66" s="687"/>
      <c r="N66" s="178"/>
    </row>
    <row r="67" spans="1:14" s="514" customFormat="1" ht="15" customHeight="1" x14ac:dyDescent="0.35">
      <c r="A67" s="687"/>
      <c r="B67" s="687"/>
      <c r="C67" s="687"/>
      <c r="D67" s="687"/>
      <c r="E67" s="687"/>
      <c r="F67" s="687"/>
      <c r="G67" s="687"/>
      <c r="H67" s="687"/>
      <c r="I67" s="687"/>
      <c r="J67" s="42"/>
      <c r="K67" s="178"/>
      <c r="L67" s="687"/>
      <c r="M67" s="687"/>
      <c r="N67" s="178"/>
    </row>
    <row r="68" spans="1:14" ht="15" customHeight="1" x14ac:dyDescent="0.35">
      <c r="B68" s="687"/>
      <c r="C68" s="687"/>
      <c r="E68" s="687"/>
      <c r="F68" s="687"/>
      <c r="G68" s="687"/>
      <c r="H68" s="687"/>
      <c r="I68" s="687"/>
      <c r="L68" s="687"/>
      <c r="M68" s="687"/>
    </row>
    <row r="69" spans="1:14" ht="15" customHeight="1" x14ac:dyDescent="0.35">
      <c r="B69" s="687"/>
      <c r="C69" s="687"/>
      <c r="E69" s="687"/>
      <c r="F69" s="687"/>
      <c r="G69" s="687"/>
      <c r="H69" s="687"/>
      <c r="I69" s="687"/>
      <c r="L69" s="687"/>
      <c r="M69" s="687"/>
    </row>
    <row r="70" spans="1:14" ht="15" customHeight="1" x14ac:dyDescent="0.35">
      <c r="B70" s="687"/>
      <c r="C70" s="687"/>
      <c r="E70" s="687"/>
      <c r="F70" s="687"/>
      <c r="G70" s="687"/>
      <c r="H70" s="687"/>
      <c r="I70" s="687"/>
      <c r="L70" s="687"/>
      <c r="M70" s="687"/>
    </row>
    <row r="71" spans="1:14" ht="15" customHeight="1" x14ac:dyDescent="0.35">
      <c r="B71" s="687"/>
      <c r="C71" s="687"/>
      <c r="E71" s="687"/>
      <c r="F71" s="687"/>
      <c r="G71" s="687"/>
      <c r="H71" s="687"/>
      <c r="I71" s="687"/>
      <c r="L71" s="687"/>
      <c r="M71" s="687"/>
    </row>
    <row r="72" spans="1:14" ht="15" customHeight="1" x14ac:dyDescent="0.35">
      <c r="B72" s="687"/>
      <c r="C72" s="687"/>
      <c r="E72" s="687"/>
      <c r="F72" s="687"/>
      <c r="G72" s="687"/>
      <c r="H72" s="687"/>
      <c r="I72" s="687"/>
      <c r="L72" s="687"/>
      <c r="M72" s="687"/>
    </row>
    <row r="73" spans="1:14" ht="15" customHeight="1" x14ac:dyDescent="0.35">
      <c r="B73" s="687"/>
      <c r="C73" s="687"/>
      <c r="E73" s="687"/>
      <c r="F73" s="687"/>
      <c r="G73" s="687"/>
      <c r="H73" s="687"/>
      <c r="I73" s="687"/>
      <c r="L73" s="687"/>
      <c r="M73" s="687"/>
    </row>
    <row r="74" spans="1:14" ht="15" customHeight="1" x14ac:dyDescent="0.35">
      <c r="B74" s="687"/>
      <c r="C74" s="687"/>
      <c r="E74" s="687"/>
      <c r="F74" s="687"/>
      <c r="G74" s="687"/>
      <c r="H74" s="687"/>
      <c r="I74" s="687"/>
      <c r="L74" s="687"/>
      <c r="M74" s="687"/>
    </row>
    <row r="75" spans="1:14" ht="15" customHeight="1" x14ac:dyDescent="0.35">
      <c r="B75" s="687"/>
      <c r="C75" s="687"/>
      <c r="E75" s="687"/>
      <c r="F75" s="687"/>
      <c r="G75" s="687"/>
      <c r="H75" s="687"/>
      <c r="I75" s="687"/>
      <c r="L75" s="687"/>
      <c r="M75" s="687"/>
    </row>
    <row r="76" spans="1:14" ht="15" customHeight="1" x14ac:dyDescent="0.35">
      <c r="B76" s="687"/>
      <c r="C76" s="687"/>
      <c r="E76" s="687"/>
      <c r="F76" s="687"/>
      <c r="G76" s="687"/>
      <c r="H76" s="687"/>
      <c r="I76" s="687"/>
      <c r="L76" s="687"/>
      <c r="M76" s="687"/>
    </row>
    <row r="77" spans="1:14" s="687" customFormat="1" ht="15" customHeight="1" x14ac:dyDescent="0.35">
      <c r="J77" s="42"/>
      <c r="K77" s="178"/>
      <c r="N77" s="178"/>
    </row>
    <row r="78" spans="1:14" s="687" customFormat="1" ht="15" customHeight="1" x14ac:dyDescent="0.35">
      <c r="J78" s="42"/>
      <c r="K78" s="178"/>
      <c r="N78" s="178"/>
    </row>
    <row r="79" spans="1:14" s="687" customFormat="1" ht="15" customHeight="1" x14ac:dyDescent="0.35">
      <c r="J79" s="42"/>
      <c r="K79" s="178"/>
      <c r="N79" s="178"/>
    </row>
    <row r="80" spans="1:14" s="687" customFormat="1" ht="15" customHeight="1" x14ac:dyDescent="0.35">
      <c r="J80" s="42"/>
      <c r="K80" s="178"/>
      <c r="N80" s="178"/>
    </row>
    <row r="81" spans="1:14" s="687" customFormat="1" ht="15" customHeight="1" x14ac:dyDescent="0.35">
      <c r="J81" s="42"/>
      <c r="K81" s="178"/>
      <c r="N81" s="178"/>
    </row>
    <row r="82" spans="1:14" s="87" customFormat="1" ht="15" customHeight="1" x14ac:dyDescent="0.35">
      <c r="A82" s="687"/>
      <c r="B82" s="687"/>
      <c r="C82" s="687"/>
      <c r="D82" s="687"/>
      <c r="E82" s="687"/>
      <c r="F82" s="687"/>
      <c r="G82" s="687"/>
      <c r="H82" s="687"/>
      <c r="I82" s="687"/>
      <c r="J82" s="42"/>
      <c r="K82" s="178"/>
      <c r="L82" s="687"/>
      <c r="M82" s="687"/>
      <c r="N82" s="178"/>
    </row>
    <row r="83" spans="1:14" s="87" customFormat="1" ht="15" customHeight="1" x14ac:dyDescent="0.35">
      <c r="A83" s="687"/>
      <c r="B83" s="687"/>
      <c r="C83" s="687"/>
      <c r="D83" s="687"/>
      <c r="E83" s="687"/>
      <c r="F83" s="687"/>
      <c r="G83" s="687"/>
      <c r="H83" s="687"/>
      <c r="I83" s="687"/>
      <c r="J83" s="42"/>
      <c r="K83" s="178"/>
      <c r="L83" s="687"/>
      <c r="M83" s="687"/>
      <c r="N83" s="178"/>
    </row>
    <row r="84" spans="1:14" s="87" customFormat="1" ht="15" customHeight="1" x14ac:dyDescent="0.35">
      <c r="A84" s="687"/>
      <c r="B84" s="687"/>
      <c r="C84" s="687"/>
      <c r="D84" s="687"/>
      <c r="E84" s="687"/>
      <c r="F84" s="687"/>
      <c r="G84" s="687"/>
      <c r="H84" s="687"/>
      <c r="I84" s="687"/>
      <c r="J84" s="42"/>
      <c r="K84" s="178"/>
      <c r="L84" s="687"/>
      <c r="M84" s="687"/>
      <c r="N84" s="178"/>
    </row>
    <row r="85" spans="1:14" s="87" customFormat="1" ht="15" customHeight="1" x14ac:dyDescent="0.35">
      <c r="A85" s="687"/>
      <c r="B85" s="687"/>
      <c r="C85" s="687"/>
      <c r="D85" s="687"/>
      <c r="E85" s="687"/>
      <c r="F85" s="687"/>
      <c r="G85" s="687"/>
      <c r="H85" s="687"/>
      <c r="I85" s="687"/>
      <c r="J85" s="42"/>
      <c r="K85" s="178"/>
      <c r="L85" s="687"/>
      <c r="M85" s="687"/>
      <c r="N85" s="178"/>
    </row>
    <row r="86" spans="1:14" s="87" customFormat="1" ht="15" customHeight="1" x14ac:dyDescent="0.35">
      <c r="A86" s="687"/>
      <c r="B86" s="687"/>
      <c r="C86" s="687"/>
      <c r="D86" s="687"/>
      <c r="E86" s="687"/>
      <c r="F86" s="687"/>
      <c r="G86" s="687"/>
      <c r="H86" s="687"/>
      <c r="I86" s="687"/>
      <c r="J86" s="42"/>
      <c r="K86" s="178"/>
      <c r="L86" s="687"/>
      <c r="M86" s="687"/>
      <c r="N86" s="178"/>
    </row>
    <row r="87" spans="1:14" s="87" customFormat="1" ht="15" customHeight="1" x14ac:dyDescent="0.35">
      <c r="B87" s="687"/>
      <c r="C87" s="687"/>
      <c r="D87" s="687"/>
      <c r="E87" s="687"/>
      <c r="F87" s="687"/>
      <c r="G87" s="687"/>
      <c r="H87" s="687"/>
      <c r="I87" s="687"/>
      <c r="J87" s="42"/>
      <c r="K87" s="178"/>
      <c r="L87" s="687"/>
      <c r="M87" s="687"/>
      <c r="N87" s="178"/>
    </row>
    <row r="88" spans="1:14" ht="15" customHeight="1" x14ac:dyDescent="0.35">
      <c r="A88" s="87"/>
      <c r="B88" s="687"/>
      <c r="C88" s="687"/>
      <c r="E88" s="687"/>
      <c r="F88" s="687"/>
      <c r="G88" s="687"/>
      <c r="H88" s="687"/>
      <c r="I88" s="687"/>
      <c r="L88" s="687"/>
      <c r="M88" s="687"/>
    </row>
    <row r="89" spans="1:14" ht="15" customHeight="1" x14ac:dyDescent="0.35">
      <c r="A89" s="87"/>
      <c r="B89" s="687"/>
      <c r="C89" s="687"/>
      <c r="E89" s="687"/>
      <c r="F89" s="687"/>
      <c r="G89" s="687"/>
      <c r="H89" s="687"/>
      <c r="I89" s="687"/>
      <c r="L89" s="687"/>
      <c r="M89" s="687"/>
    </row>
    <row r="90" spans="1:14" ht="15" customHeight="1" x14ac:dyDescent="0.35">
      <c r="A90" s="87"/>
      <c r="B90" s="687"/>
      <c r="C90" s="687"/>
      <c r="E90" s="687"/>
      <c r="F90" s="687"/>
      <c r="G90" s="687"/>
      <c r="H90" s="687"/>
      <c r="I90" s="687"/>
      <c r="L90" s="687"/>
      <c r="M90" s="687"/>
    </row>
    <row r="91" spans="1:14" ht="15" customHeight="1" x14ac:dyDescent="0.35">
      <c r="A91" s="87"/>
      <c r="B91" s="687"/>
      <c r="C91" s="687"/>
      <c r="E91" s="687"/>
      <c r="F91" s="687"/>
      <c r="G91" s="687"/>
      <c r="H91" s="687"/>
      <c r="I91" s="687"/>
      <c r="L91" s="687"/>
      <c r="M91" s="687"/>
    </row>
    <row r="92" spans="1:14" ht="15.75" customHeight="1" x14ac:dyDescent="0.35">
      <c r="A92" s="87"/>
      <c r="B92" s="687"/>
      <c r="C92" s="687"/>
      <c r="E92" s="687"/>
      <c r="F92" s="687"/>
      <c r="G92" s="687"/>
      <c r="H92" s="687"/>
      <c r="I92" s="687"/>
      <c r="L92" s="687"/>
      <c r="M92" s="687"/>
    </row>
    <row r="93" spans="1:14" ht="15.75" customHeight="1" x14ac:dyDescent="0.35">
      <c r="B93" s="687"/>
      <c r="C93" s="687"/>
      <c r="E93" s="687"/>
      <c r="F93" s="687"/>
      <c r="G93" s="687"/>
      <c r="H93" s="687"/>
      <c r="I93" s="687"/>
      <c r="L93" s="687"/>
      <c r="M93" s="687"/>
    </row>
    <row r="94" spans="1:14" s="687" customFormat="1" ht="15.75" customHeight="1" x14ac:dyDescent="0.35">
      <c r="J94" s="42"/>
      <c r="K94" s="178"/>
      <c r="N94" s="178"/>
    </row>
    <row r="95" spans="1:14" s="687" customFormat="1" ht="15.75" customHeight="1" x14ac:dyDescent="0.35">
      <c r="J95" s="42"/>
      <c r="K95" s="178"/>
      <c r="N95" s="178"/>
    </row>
    <row r="96" spans="1:14" s="687" customFormat="1" ht="15.75" customHeight="1" x14ac:dyDescent="0.35">
      <c r="J96" s="42"/>
      <c r="K96" s="178"/>
      <c r="N96" s="178"/>
    </row>
    <row r="97" spans="2:14" s="687" customFormat="1" ht="15.75" customHeight="1" x14ac:dyDescent="0.35">
      <c r="J97" s="42"/>
      <c r="K97" s="178"/>
      <c r="N97" s="178"/>
    </row>
    <row r="98" spans="2:14" s="687" customFormat="1" ht="15.75" customHeight="1" x14ac:dyDescent="0.35">
      <c r="J98" s="42"/>
      <c r="K98" s="178"/>
      <c r="N98" s="178"/>
    </row>
    <row r="99" spans="2:14" s="687" customFormat="1" ht="15.75" customHeight="1" x14ac:dyDescent="0.35">
      <c r="J99" s="42"/>
      <c r="K99" s="178"/>
      <c r="N99" s="178"/>
    </row>
    <row r="100" spans="2:14" ht="15.75" customHeight="1" x14ac:dyDescent="0.35">
      <c r="B100" s="687"/>
      <c r="C100" s="687"/>
      <c r="E100" s="687"/>
      <c r="F100" s="687"/>
      <c r="G100" s="687"/>
      <c r="H100" s="687"/>
      <c r="I100" s="687"/>
      <c r="L100" s="687"/>
      <c r="M100" s="687"/>
    </row>
    <row r="106" spans="2:14" s="687" customFormat="1" x14ac:dyDescent="0.35">
      <c r="J106" s="42"/>
      <c r="K106" s="178"/>
      <c r="N106" s="178"/>
    </row>
    <row r="107" spans="2:14" s="687" customFormat="1" x14ac:dyDescent="0.35">
      <c r="J107" s="42"/>
      <c r="K107" s="178"/>
      <c r="N107" s="178"/>
    </row>
    <row r="108" spans="2:14" s="687" customFormat="1" x14ac:dyDescent="0.35">
      <c r="J108" s="42"/>
      <c r="K108" s="178"/>
      <c r="N108" s="178"/>
    </row>
    <row r="114" spans="2:14" x14ac:dyDescent="0.35">
      <c r="B114" s="687"/>
      <c r="C114" s="687"/>
      <c r="E114" s="687"/>
      <c r="F114" s="687"/>
      <c r="G114" s="687"/>
      <c r="H114" s="687"/>
      <c r="I114" s="687"/>
      <c r="L114" s="687"/>
      <c r="M114" s="687"/>
    </row>
    <row r="115" spans="2:14" x14ac:dyDescent="0.35">
      <c r="B115" s="687"/>
      <c r="C115" s="687"/>
      <c r="E115" s="687"/>
      <c r="F115" s="687"/>
      <c r="G115" s="687"/>
      <c r="H115" s="687"/>
      <c r="I115" s="687"/>
      <c r="L115" s="687"/>
      <c r="M115" s="687"/>
    </row>
    <row r="116" spans="2:14" x14ac:dyDescent="0.35">
      <c r="B116" s="687"/>
      <c r="C116" s="687"/>
      <c r="E116" s="687"/>
      <c r="F116" s="687"/>
      <c r="G116" s="687"/>
      <c r="H116" s="687"/>
      <c r="I116" s="687"/>
      <c r="L116" s="687"/>
      <c r="M116" s="687"/>
    </row>
    <row r="117" spans="2:14" x14ac:dyDescent="0.35">
      <c r="B117" s="687"/>
      <c r="C117" s="687"/>
      <c r="E117" s="687"/>
      <c r="F117" s="687"/>
      <c r="G117" s="687"/>
      <c r="H117" s="687"/>
      <c r="I117" s="687"/>
      <c r="L117" s="687"/>
      <c r="M117" s="687"/>
    </row>
    <row r="118" spans="2:14" x14ac:dyDescent="0.35">
      <c r="B118" s="687"/>
      <c r="C118" s="687"/>
      <c r="E118" s="687"/>
      <c r="F118" s="687"/>
      <c r="G118" s="687"/>
      <c r="H118" s="687"/>
      <c r="I118" s="687"/>
      <c r="L118" s="687"/>
      <c r="M118" s="687"/>
    </row>
    <row r="119" spans="2:14" x14ac:dyDescent="0.35">
      <c r="B119" s="687"/>
      <c r="C119" s="687"/>
      <c r="E119" s="687"/>
      <c r="F119" s="687"/>
      <c r="G119" s="687"/>
      <c r="H119" s="687"/>
      <c r="I119" s="687"/>
      <c r="L119" s="687"/>
      <c r="M119" s="687"/>
    </row>
    <row r="120" spans="2:14" x14ac:dyDescent="0.35">
      <c r="B120" s="687"/>
      <c r="C120" s="687"/>
      <c r="E120" s="687"/>
      <c r="F120" s="687"/>
      <c r="G120" s="687"/>
      <c r="H120" s="687"/>
      <c r="I120" s="687"/>
      <c r="L120" s="687"/>
      <c r="M120" s="687"/>
    </row>
    <row r="121" spans="2:14" x14ac:dyDescent="0.35">
      <c r="B121" s="687"/>
      <c r="C121" s="687"/>
      <c r="E121" s="687"/>
      <c r="F121" s="687"/>
      <c r="G121" s="687"/>
      <c r="H121" s="687"/>
      <c r="I121" s="687"/>
      <c r="L121" s="687"/>
      <c r="M121" s="687"/>
    </row>
    <row r="122" spans="2:14" x14ac:dyDescent="0.35">
      <c r="B122" s="687"/>
      <c r="C122" s="687"/>
      <c r="E122" s="687"/>
      <c r="F122" s="687"/>
      <c r="G122" s="687"/>
      <c r="H122" s="687"/>
      <c r="I122" s="687"/>
      <c r="L122" s="687"/>
      <c r="M122" s="687"/>
    </row>
    <row r="123" spans="2:14" s="687" customFormat="1" x14ac:dyDescent="0.35">
      <c r="J123" s="42"/>
      <c r="K123" s="178"/>
      <c r="N123" s="178"/>
    </row>
    <row r="124" spans="2:14" s="687" customFormat="1" x14ac:dyDescent="0.35">
      <c r="J124" s="42"/>
      <c r="K124" s="178"/>
      <c r="N124" s="178"/>
    </row>
    <row r="126" spans="2:14" x14ac:dyDescent="0.35">
      <c r="B126" s="687"/>
      <c r="C126" s="687"/>
      <c r="E126" s="687"/>
      <c r="F126" s="687"/>
      <c r="G126" s="687"/>
      <c r="H126" s="687"/>
      <c r="I126" s="687"/>
      <c r="L126" s="687"/>
      <c r="M126" s="687"/>
    </row>
    <row r="127" spans="2:14" x14ac:dyDescent="0.35">
      <c r="B127" s="687"/>
      <c r="C127" s="687"/>
      <c r="E127" s="687"/>
      <c r="F127" s="687"/>
      <c r="G127" s="687"/>
      <c r="H127" s="687"/>
      <c r="I127" s="687"/>
      <c r="L127" s="687"/>
      <c r="M127" s="687"/>
    </row>
    <row r="128" spans="2:14" x14ac:dyDescent="0.35">
      <c r="B128" s="687"/>
      <c r="C128" s="687"/>
      <c r="E128" s="687"/>
      <c r="F128" s="687"/>
      <c r="G128" s="687"/>
      <c r="H128" s="687"/>
      <c r="I128" s="687"/>
      <c r="L128" s="687"/>
      <c r="M128" s="687"/>
    </row>
    <row r="132" spans="2:13" x14ac:dyDescent="0.35">
      <c r="B132" s="687"/>
      <c r="C132" s="687"/>
      <c r="E132" s="687"/>
      <c r="F132" s="687"/>
      <c r="G132" s="687"/>
      <c r="H132" s="687"/>
      <c r="I132" s="687"/>
      <c r="L132" s="687"/>
      <c r="M132" s="687"/>
    </row>
    <row r="133" spans="2:13" x14ac:dyDescent="0.35">
      <c r="B133" s="687"/>
      <c r="C133" s="687"/>
      <c r="E133" s="687"/>
      <c r="F133" s="687"/>
      <c r="G133" s="687"/>
      <c r="H133" s="687"/>
      <c r="I133" s="687"/>
      <c r="L133" s="687"/>
      <c r="M133" s="687"/>
    </row>
    <row r="135" spans="2:13" x14ac:dyDescent="0.35">
      <c r="B135" s="687"/>
      <c r="C135" s="687"/>
      <c r="E135" s="687"/>
      <c r="F135" s="687"/>
      <c r="G135" s="687"/>
      <c r="H135" s="687"/>
      <c r="I135" s="687"/>
      <c r="L135" s="687"/>
      <c r="M135" s="687"/>
    </row>
    <row r="136" spans="2:13" x14ac:dyDescent="0.35">
      <c r="B136" s="687"/>
      <c r="C136" s="687"/>
      <c r="E136" s="687"/>
      <c r="F136" s="687"/>
      <c r="G136" s="687"/>
      <c r="H136" s="687"/>
      <c r="I136" s="687"/>
      <c r="L136" s="687"/>
      <c r="M136" s="687"/>
    </row>
    <row r="143" spans="2:13" x14ac:dyDescent="0.35">
      <c r="B143" s="687"/>
      <c r="C143" s="687"/>
      <c r="E143" s="687"/>
      <c r="F143" s="687"/>
      <c r="G143" s="687"/>
      <c r="H143" s="687"/>
      <c r="I143" s="687"/>
      <c r="L143" s="687"/>
      <c r="M143" s="687"/>
    </row>
    <row r="144" spans="2:13" x14ac:dyDescent="0.35">
      <c r="B144" s="687"/>
      <c r="C144" s="687"/>
      <c r="E144" s="687"/>
      <c r="F144" s="687"/>
      <c r="G144" s="687"/>
      <c r="H144" s="687"/>
      <c r="I144" s="687"/>
      <c r="L144" s="687"/>
      <c r="M144" s="687"/>
    </row>
    <row r="145" spans="2:13" x14ac:dyDescent="0.35">
      <c r="B145" s="687"/>
      <c r="C145" s="687"/>
      <c r="E145" s="687"/>
      <c r="F145" s="687"/>
      <c r="G145" s="687"/>
      <c r="H145" s="687"/>
      <c r="I145" s="687"/>
      <c r="L145" s="687"/>
      <c r="M145" s="687"/>
    </row>
    <row r="160" spans="2:13" x14ac:dyDescent="0.35">
      <c r="B160" s="687"/>
      <c r="C160" s="687"/>
      <c r="E160" s="687"/>
      <c r="F160" s="687"/>
      <c r="G160" s="687"/>
      <c r="H160" s="687"/>
      <c r="I160" s="687"/>
      <c r="L160" s="687"/>
      <c r="M160" s="687"/>
    </row>
    <row r="161" spans="2:13" x14ac:dyDescent="0.35">
      <c r="B161" s="687"/>
      <c r="C161" s="687"/>
      <c r="E161" s="687"/>
      <c r="F161" s="687"/>
      <c r="G161" s="687"/>
      <c r="H161" s="687"/>
      <c r="I161" s="687"/>
      <c r="L161" s="687"/>
      <c r="M161" s="687"/>
    </row>
  </sheetData>
  <sheetProtection selectLockedCells="1"/>
  <mergeCells count="3">
    <mergeCell ref="B7:H7"/>
    <mergeCell ref="A1:H1"/>
    <mergeCell ref="F3:H5"/>
  </mergeCells>
  <conditionalFormatting sqref="C28:D29">
    <cfRule type="cellIs" dxfId="0" priority="19" stopIfTrue="1" operator="equal">
      <formula>"L"</formula>
    </cfRule>
  </conditionalFormatting>
  <hyperlinks>
    <hyperlink ref="B4" location="'Glossary-FAQs'!A1" display="Glossary/FAQ" xr:uid="{92B823EF-26BF-44CD-90B5-CB41FEEF6288}"/>
    <hyperlink ref="C3" location="'Welcome'!C15" display="  = Data entry needed. See color legend on Welcome tab for more info.  " xr:uid="{31F5903F-E1F2-47C6-AA12-C8A1337EC492}"/>
  </hyperlink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70C0"/>
  </sheetPr>
  <dimension ref="A1:P59"/>
  <sheetViews>
    <sheetView zoomScaleNormal="100" workbookViewId="0">
      <selection activeCell="A2" sqref="A2"/>
    </sheetView>
  </sheetViews>
  <sheetFormatPr defaultColWidth="8.81640625" defaultRowHeight="14.5" x14ac:dyDescent="0.35"/>
  <cols>
    <col min="1" max="1" width="5.1796875" style="687" customWidth="1"/>
    <col min="2" max="2" width="33" customWidth="1"/>
    <col min="3" max="3" width="19" customWidth="1"/>
    <col min="4" max="4" width="20.7265625" customWidth="1"/>
    <col min="5" max="5" width="21" customWidth="1"/>
    <col min="6" max="6" width="16.1796875" customWidth="1"/>
    <col min="7" max="7" width="8.81640625" bestFit="1" customWidth="1"/>
    <col min="8" max="8" width="8.7265625" bestFit="1" customWidth="1"/>
    <col min="9" max="9" width="13.81640625" customWidth="1"/>
  </cols>
  <sheetData>
    <row r="1" spans="1:11" ht="21.5" thickBot="1" x14ac:dyDescent="0.55000000000000004">
      <c r="A1" s="1833" t="s">
        <v>741</v>
      </c>
      <c r="B1" s="1834"/>
      <c r="C1" s="1834"/>
      <c r="D1" s="1834"/>
      <c r="E1" s="1834"/>
      <c r="F1" s="1835"/>
      <c r="G1" s="687"/>
      <c r="H1" s="687"/>
      <c r="I1" s="687"/>
      <c r="J1" s="687"/>
      <c r="K1" s="687"/>
    </row>
    <row r="2" spans="1:11" s="210" customFormat="1" x14ac:dyDescent="0.35">
      <c r="A2" s="690"/>
      <c r="B2" s="444"/>
      <c r="C2" s="444"/>
      <c r="D2" s="444"/>
      <c r="E2" s="444"/>
      <c r="F2" s="444"/>
      <c r="G2" s="690"/>
      <c r="H2" s="690"/>
      <c r="I2" s="690"/>
      <c r="J2" s="690"/>
      <c r="K2" s="690"/>
    </row>
    <row r="3" spans="1:11" s="5" customFormat="1" ht="15" customHeight="1" x14ac:dyDescent="0.35">
      <c r="B3" s="1558" t="s">
        <v>265</v>
      </c>
      <c r="C3" s="1617" t="s">
        <v>432</v>
      </c>
      <c r="D3" s="1661"/>
      <c r="E3" s="1552"/>
      <c r="F3" s="1550"/>
    </row>
    <row r="4" spans="1:11" s="5" customFormat="1" ht="15" customHeight="1" x14ac:dyDescent="0.25">
      <c r="B4" s="1670" t="s">
        <v>268</v>
      </c>
      <c r="C4" s="1918" t="s">
        <v>264</v>
      </c>
      <c r="D4" s="1919" t="s">
        <v>742</v>
      </c>
      <c r="E4" s="1919"/>
      <c r="F4" s="1919"/>
    </row>
    <row r="5" spans="1:11" s="210" customFormat="1" ht="63.65" customHeight="1" x14ac:dyDescent="0.35">
      <c r="A5" s="690"/>
      <c r="B5" s="1663"/>
      <c r="C5" s="1918"/>
      <c r="D5" s="1919"/>
      <c r="E5" s="1919"/>
      <c r="F5" s="1919"/>
      <c r="G5" s="1662"/>
      <c r="H5" s="1662"/>
      <c r="I5" s="1662"/>
      <c r="J5" s="1662"/>
      <c r="K5" s="690"/>
    </row>
    <row r="6" spans="1:11" ht="15" thickBot="1" x14ac:dyDescent="0.4">
      <c r="B6" s="6"/>
      <c r="C6" s="687"/>
      <c r="D6" s="687"/>
      <c r="E6" s="687"/>
      <c r="F6" s="687"/>
      <c r="G6" s="687"/>
      <c r="H6" s="687"/>
      <c r="I6" s="687"/>
      <c r="J6" s="687"/>
      <c r="K6" s="687"/>
    </row>
    <row r="7" spans="1:11" ht="15.75" customHeight="1" thickBot="1" x14ac:dyDescent="0.4">
      <c r="B7" s="1841" t="s">
        <v>743</v>
      </c>
      <c r="C7" s="1842"/>
      <c r="D7" s="1842"/>
      <c r="E7" s="1843"/>
      <c r="F7" s="687"/>
      <c r="G7" s="687"/>
      <c r="H7" s="687"/>
      <c r="I7" s="687"/>
      <c r="J7" s="687"/>
      <c r="K7" s="687"/>
    </row>
    <row r="8" spans="1:11" ht="15" customHeight="1" x14ac:dyDescent="0.35">
      <c r="B8" s="851"/>
      <c r="C8" s="689"/>
      <c r="D8" s="689"/>
      <c r="E8" s="20"/>
      <c r="F8" s="687"/>
      <c r="G8" s="687"/>
      <c r="H8" s="687"/>
      <c r="I8" s="687"/>
      <c r="J8" s="687"/>
      <c r="K8" s="687"/>
    </row>
    <row r="9" spans="1:11" x14ac:dyDescent="0.35">
      <c r="B9" s="1255">
        <f>ghg_year</f>
        <v>2020</v>
      </c>
      <c r="C9" s="689"/>
      <c r="D9" s="457"/>
      <c r="E9" s="106"/>
      <c r="F9" s="687"/>
      <c r="G9" s="687"/>
      <c r="H9" s="687"/>
      <c r="I9" s="687"/>
      <c r="J9" s="687"/>
      <c r="K9" s="687"/>
    </row>
    <row r="10" spans="1:11" x14ac:dyDescent="0.35">
      <c r="B10" s="49"/>
      <c r="C10" s="1913" t="s">
        <v>744</v>
      </c>
      <c r="D10" s="1915" t="s">
        <v>745</v>
      </c>
      <c r="E10" s="1917" t="s">
        <v>746</v>
      </c>
      <c r="F10" s="687"/>
      <c r="G10" s="687"/>
      <c r="H10" s="687"/>
      <c r="I10" s="687"/>
      <c r="J10" s="687"/>
      <c r="K10" s="687"/>
    </row>
    <row r="11" spans="1:11" x14ac:dyDescent="0.35">
      <c r="B11" s="49"/>
      <c r="C11" s="1914"/>
      <c r="D11" s="1916"/>
      <c r="E11" s="1917"/>
      <c r="F11" s="687"/>
      <c r="G11" s="687"/>
      <c r="H11" s="687"/>
      <c r="I11" s="687"/>
      <c r="J11" s="687"/>
      <c r="K11" s="687"/>
    </row>
    <row r="12" spans="1:11" x14ac:dyDescent="0.35">
      <c r="B12" s="852" t="s">
        <v>443</v>
      </c>
      <c r="C12" s="1226">
        <v>10000</v>
      </c>
      <c r="D12" s="1213">
        <f>C12*$D$35</f>
        <v>1597.5</v>
      </c>
      <c r="E12" s="874">
        <f>D12/C12</f>
        <v>0.15975</v>
      </c>
      <c r="F12" s="687"/>
      <c r="G12" s="687"/>
      <c r="H12" s="687"/>
      <c r="I12" s="687"/>
      <c r="J12" s="687"/>
      <c r="K12" s="687"/>
    </row>
    <row r="13" spans="1:11" x14ac:dyDescent="0.35">
      <c r="B13" s="852" t="s">
        <v>444</v>
      </c>
      <c r="C13" s="1227">
        <v>10000</v>
      </c>
      <c r="D13" s="1214">
        <f t="shared" ref="D13:D23" si="0">C13*$D$35</f>
        <v>1597.5</v>
      </c>
      <c r="E13" s="875">
        <f t="shared" ref="E13:E23" si="1">D13/C13</f>
        <v>0.15975</v>
      </c>
      <c r="F13" s="687"/>
      <c r="G13" s="687"/>
      <c r="H13" s="687"/>
      <c r="I13" s="687"/>
      <c r="J13" s="687"/>
      <c r="K13" s="687"/>
    </row>
    <row r="14" spans="1:11" x14ac:dyDescent="0.35">
      <c r="B14" s="852" t="s">
        <v>445</v>
      </c>
      <c r="C14" s="1227">
        <v>10000</v>
      </c>
      <c r="D14" s="1214">
        <f t="shared" si="0"/>
        <v>1597.5</v>
      </c>
      <c r="E14" s="875">
        <f t="shared" si="1"/>
        <v>0.15975</v>
      </c>
      <c r="F14" s="687"/>
      <c r="G14" s="687"/>
      <c r="H14" s="687"/>
      <c r="I14" s="687"/>
      <c r="J14" s="687"/>
      <c r="K14" s="687"/>
    </row>
    <row r="15" spans="1:11" x14ac:dyDescent="0.35">
      <c r="B15" s="852" t="s">
        <v>446</v>
      </c>
      <c r="C15" s="1227">
        <v>10000</v>
      </c>
      <c r="D15" s="1214">
        <f t="shared" si="0"/>
        <v>1597.5</v>
      </c>
      <c r="E15" s="875">
        <f t="shared" si="1"/>
        <v>0.15975</v>
      </c>
      <c r="F15" s="167"/>
      <c r="G15" s="687"/>
      <c r="H15" s="687"/>
      <c r="I15" s="687"/>
      <c r="J15" s="687"/>
      <c r="K15" s="687"/>
    </row>
    <row r="16" spans="1:11" x14ac:dyDescent="0.35">
      <c r="B16" s="852" t="s">
        <v>447</v>
      </c>
      <c r="C16" s="1227">
        <v>10000</v>
      </c>
      <c r="D16" s="1214">
        <f t="shared" si="0"/>
        <v>1597.5</v>
      </c>
      <c r="E16" s="875">
        <f t="shared" si="1"/>
        <v>0.15975</v>
      </c>
      <c r="F16" s="687"/>
      <c r="G16" s="687"/>
      <c r="H16" s="687"/>
      <c r="I16" s="687"/>
      <c r="J16" s="687"/>
      <c r="K16" s="687"/>
    </row>
    <row r="17" spans="2:11" x14ac:dyDescent="0.35">
      <c r="B17" s="852" t="s">
        <v>448</v>
      </c>
      <c r="C17" s="1227">
        <v>10000</v>
      </c>
      <c r="D17" s="1214">
        <f t="shared" si="0"/>
        <v>1597.5</v>
      </c>
      <c r="E17" s="875">
        <f t="shared" si="1"/>
        <v>0.15975</v>
      </c>
      <c r="F17" s="687"/>
      <c r="G17" s="687"/>
      <c r="H17" s="687"/>
      <c r="I17" s="687"/>
      <c r="J17" s="687"/>
      <c r="K17" s="687"/>
    </row>
    <row r="18" spans="2:11" x14ac:dyDescent="0.35">
      <c r="B18" s="852" t="s">
        <v>449</v>
      </c>
      <c r="C18" s="1227">
        <v>10000</v>
      </c>
      <c r="D18" s="1214">
        <f t="shared" si="0"/>
        <v>1597.5</v>
      </c>
      <c r="E18" s="875">
        <f t="shared" si="1"/>
        <v>0.15975</v>
      </c>
      <c r="F18" s="687"/>
      <c r="G18" s="687"/>
      <c r="H18" s="687"/>
      <c r="I18" s="687"/>
      <c r="J18" s="687"/>
      <c r="K18" s="687"/>
    </row>
    <row r="19" spans="2:11" x14ac:dyDescent="0.35">
      <c r="B19" s="852" t="s">
        <v>450</v>
      </c>
      <c r="C19" s="1227">
        <v>10000</v>
      </c>
      <c r="D19" s="1214">
        <f t="shared" si="0"/>
        <v>1597.5</v>
      </c>
      <c r="E19" s="875">
        <f t="shared" si="1"/>
        <v>0.15975</v>
      </c>
      <c r="F19" s="687"/>
      <c r="G19" s="687"/>
      <c r="H19" s="687"/>
      <c r="I19" s="687"/>
      <c r="J19" s="687"/>
      <c r="K19" s="687"/>
    </row>
    <row r="20" spans="2:11" x14ac:dyDescent="0.35">
      <c r="B20" s="852" t="s">
        <v>451</v>
      </c>
      <c r="C20" s="1227">
        <v>10000</v>
      </c>
      <c r="D20" s="1214">
        <f t="shared" si="0"/>
        <v>1597.5</v>
      </c>
      <c r="E20" s="875">
        <f t="shared" si="1"/>
        <v>0.15975</v>
      </c>
      <c r="F20" s="687"/>
      <c r="G20" s="687"/>
      <c r="H20" s="687"/>
      <c r="I20" s="687"/>
      <c r="J20" s="687"/>
      <c r="K20" s="687"/>
    </row>
    <row r="21" spans="2:11" x14ac:dyDescent="0.35">
      <c r="B21" s="852" t="s">
        <v>452</v>
      </c>
      <c r="C21" s="1227">
        <v>10000</v>
      </c>
      <c r="D21" s="1214">
        <f t="shared" si="0"/>
        <v>1597.5</v>
      </c>
      <c r="E21" s="875">
        <f t="shared" si="1"/>
        <v>0.15975</v>
      </c>
      <c r="F21" s="687"/>
      <c r="G21" s="687"/>
      <c r="H21" s="162"/>
      <c r="I21" s="457"/>
      <c r="J21" s="687"/>
      <c r="K21" s="687"/>
    </row>
    <row r="22" spans="2:11" x14ac:dyDescent="0.35">
      <c r="B22" s="852" t="s">
        <v>453</v>
      </c>
      <c r="C22" s="1227">
        <v>10000</v>
      </c>
      <c r="D22" s="1214">
        <f t="shared" si="0"/>
        <v>1597.5</v>
      </c>
      <c r="E22" s="875">
        <f t="shared" si="1"/>
        <v>0.15975</v>
      </c>
      <c r="F22" s="687"/>
      <c r="G22" s="687"/>
      <c r="H22" s="687"/>
      <c r="I22" s="687"/>
      <c r="J22" s="687"/>
      <c r="K22" s="457"/>
    </row>
    <row r="23" spans="2:11" x14ac:dyDescent="0.35">
      <c r="B23" s="852" t="s">
        <v>454</v>
      </c>
      <c r="C23" s="1228">
        <v>10000</v>
      </c>
      <c r="D23" s="1225">
        <f t="shared" si="0"/>
        <v>1597.5</v>
      </c>
      <c r="E23" s="876">
        <f t="shared" si="1"/>
        <v>0.15975</v>
      </c>
      <c r="F23" s="687"/>
      <c r="G23" s="687"/>
      <c r="H23" s="687"/>
      <c r="I23" s="457"/>
      <c r="J23" s="687"/>
      <c r="K23" s="687"/>
    </row>
    <row r="24" spans="2:11" x14ac:dyDescent="0.35">
      <c r="B24" s="852" t="s">
        <v>251</v>
      </c>
      <c r="C24" s="873">
        <f>SUM(C12:C23)</f>
        <v>120000</v>
      </c>
      <c r="D24" s="873">
        <f>SUM(D12:D23)</f>
        <v>19170</v>
      </c>
      <c r="E24" s="877">
        <f>AVERAGE(E12:E23)</f>
        <v>0.15975000000000003</v>
      </c>
      <c r="F24" s="687"/>
      <c r="G24" s="687"/>
      <c r="H24" s="687"/>
      <c r="I24" s="457"/>
      <c r="J24" s="687"/>
      <c r="K24" s="687"/>
    </row>
    <row r="25" spans="2:11" ht="15" thickBot="1" x14ac:dyDescent="0.4">
      <c r="B25" s="49"/>
      <c r="C25" s="689"/>
      <c r="D25" s="103"/>
      <c r="E25" s="853"/>
      <c r="F25" s="687"/>
      <c r="G25" s="687"/>
      <c r="H25" s="687"/>
      <c r="I25" s="687"/>
      <c r="J25" s="687"/>
      <c r="K25" s="687"/>
    </row>
    <row r="26" spans="2:11" ht="15" thickBot="1" x14ac:dyDescent="0.4">
      <c r="B26" s="446"/>
      <c r="C26" s="830" t="s">
        <v>747</v>
      </c>
      <c r="D26" s="872">
        <f>D24</f>
        <v>19170</v>
      </c>
      <c r="E26" s="447" t="s">
        <v>177</v>
      </c>
      <c r="F26" s="687"/>
      <c r="G26" s="687"/>
      <c r="H26" s="687"/>
      <c r="I26" s="687"/>
      <c r="J26" s="687"/>
      <c r="K26" s="687"/>
    </row>
    <row r="27" spans="2:11" ht="15" thickBot="1" x14ac:dyDescent="0.4">
      <c r="B27" s="49"/>
      <c r="C27" s="1422" t="s">
        <v>276</v>
      </c>
      <c r="D27" s="677">
        <f>'Brewery-Control Data'!H10</f>
        <v>211225.97753999999</v>
      </c>
      <c r="E27" s="854" t="s">
        <v>125</v>
      </c>
      <c r="F27" s="101"/>
      <c r="G27" s="687"/>
      <c r="H27" s="687"/>
      <c r="I27" s="687"/>
      <c r="J27" s="687"/>
      <c r="K27" s="687"/>
    </row>
    <row r="28" spans="2:11" ht="15" thickBot="1" x14ac:dyDescent="0.4">
      <c r="B28" s="451"/>
      <c r="C28" s="829" t="s">
        <v>747</v>
      </c>
      <c r="D28" s="452">
        <f>D26/D27</f>
        <v>9.0755882506780045E-2</v>
      </c>
      <c r="E28" s="453" t="s">
        <v>665</v>
      </c>
      <c r="F28" s="687"/>
      <c r="G28" s="687"/>
      <c r="H28" s="687"/>
      <c r="I28" s="687"/>
      <c r="J28" s="687"/>
      <c r="K28" s="687"/>
    </row>
    <row r="29" spans="2:11" x14ac:dyDescent="0.35">
      <c r="B29" s="687"/>
      <c r="C29" s="687"/>
      <c r="D29" s="687"/>
      <c r="E29" s="687"/>
      <c r="F29" s="687"/>
      <c r="G29" s="687"/>
      <c r="H29" s="687"/>
      <c r="I29" s="687"/>
      <c r="J29" s="687"/>
      <c r="K29" s="687"/>
    </row>
    <row r="30" spans="2:11" ht="15" thickBot="1" x14ac:dyDescent="0.4">
      <c r="B30" s="688" t="s">
        <v>748</v>
      </c>
      <c r="C30" s="687"/>
      <c r="D30" s="687"/>
      <c r="E30" s="687"/>
      <c r="F30" s="687"/>
      <c r="G30" s="687"/>
      <c r="H30" s="687"/>
      <c r="I30" s="687"/>
      <c r="J30" s="687"/>
      <c r="K30" s="687"/>
    </row>
    <row r="31" spans="2:11" ht="29" x14ac:dyDescent="0.35">
      <c r="B31" s="1223" t="s">
        <v>749</v>
      </c>
      <c r="C31" s="1404" t="s">
        <v>750</v>
      </c>
      <c r="D31" s="1403" t="s">
        <v>751</v>
      </c>
      <c r="E31" s="687"/>
      <c r="F31" s="687"/>
      <c r="G31" s="687"/>
      <c r="H31" s="687"/>
      <c r="I31" s="687"/>
      <c r="J31" s="687"/>
      <c r="K31" s="687"/>
    </row>
    <row r="32" spans="2:11" x14ac:dyDescent="0.35">
      <c r="B32" s="454" t="s">
        <v>752</v>
      </c>
      <c r="C32" s="1417">
        <v>0.25</v>
      </c>
      <c r="D32" s="1601">
        <v>0.22500000000000001</v>
      </c>
      <c r="E32" s="687"/>
      <c r="F32" s="687"/>
      <c r="G32" s="687"/>
      <c r="H32" s="687"/>
      <c r="I32" s="687"/>
      <c r="J32" s="687"/>
      <c r="K32" s="687"/>
    </row>
    <row r="33" spans="1:11" x14ac:dyDescent="0.35">
      <c r="B33" s="454" t="s">
        <v>753</v>
      </c>
      <c r="C33" s="1418">
        <v>0.7</v>
      </c>
      <c r="D33" s="1601">
        <v>0.13600000000000001</v>
      </c>
      <c r="E33" s="687"/>
      <c r="F33" s="687"/>
      <c r="G33" s="687"/>
      <c r="H33" s="687"/>
      <c r="I33" s="687"/>
      <c r="J33" s="687"/>
      <c r="K33" s="687"/>
    </row>
    <row r="34" spans="1:11" s="687" customFormat="1" x14ac:dyDescent="0.35">
      <c r="B34" s="454" t="s">
        <v>754</v>
      </c>
      <c r="C34" s="1419">
        <v>0.05</v>
      </c>
      <c r="D34" s="1602">
        <v>0.16600000000000001</v>
      </c>
    </row>
    <row r="35" spans="1:11" ht="15" thickBot="1" x14ac:dyDescent="0.4">
      <c r="B35" s="1224"/>
      <c r="C35" s="1420">
        <f>SUM(C32:C34)</f>
        <v>1</v>
      </c>
      <c r="D35" s="1421">
        <f>SUMPRODUCT(D32:D34,C32:C34)</f>
        <v>0.15975</v>
      </c>
      <c r="E35" s="687"/>
      <c r="F35" s="687"/>
      <c r="G35" s="687"/>
      <c r="H35" s="687"/>
      <c r="I35" s="687"/>
      <c r="J35" s="687"/>
      <c r="K35" s="687"/>
    </row>
    <row r="36" spans="1:11" x14ac:dyDescent="0.35">
      <c r="B36" s="687"/>
      <c r="C36" s="687"/>
      <c r="D36" s="687"/>
      <c r="E36" s="687"/>
      <c r="F36" s="690"/>
      <c r="G36" s="687"/>
      <c r="H36" s="687"/>
      <c r="I36" s="687"/>
      <c r="J36" s="687"/>
      <c r="K36" s="687"/>
    </row>
    <row r="37" spans="1:11" x14ac:dyDescent="0.35">
      <c r="B37" s="687"/>
      <c r="C37" s="687"/>
      <c r="D37" s="687"/>
      <c r="E37" s="687"/>
      <c r="F37" s="690"/>
      <c r="G37" s="687"/>
      <c r="H37" s="687"/>
      <c r="I37" s="687"/>
      <c r="J37" s="687"/>
      <c r="K37" s="687"/>
    </row>
    <row r="38" spans="1:11" ht="15" thickBot="1" x14ac:dyDescent="0.4">
      <c r="A38" s="583" t="s">
        <v>499</v>
      </c>
      <c r="B38" s="583"/>
      <c r="C38" s="583"/>
      <c r="D38" s="583"/>
      <c r="E38" s="583"/>
      <c r="F38" s="690"/>
      <c r="G38" s="687"/>
      <c r="H38" s="687"/>
      <c r="I38" s="687"/>
      <c r="J38" s="687"/>
      <c r="K38" s="687"/>
    </row>
    <row r="39" spans="1:11" ht="15" thickTop="1" x14ac:dyDescent="0.35">
      <c r="A39" s="688"/>
      <c r="B39" s="690"/>
      <c r="C39" s="690"/>
      <c r="D39" s="690"/>
      <c r="E39" s="690"/>
      <c r="F39" s="690"/>
      <c r="G39" s="687"/>
      <c r="H39" s="687"/>
      <c r="I39" s="687"/>
      <c r="J39" s="687"/>
      <c r="K39" s="687"/>
    </row>
    <row r="40" spans="1:11" x14ac:dyDescent="0.35">
      <c r="A40" s="688" t="s">
        <v>755</v>
      </c>
      <c r="B40" s="690"/>
      <c r="C40" s="690"/>
      <c r="D40" s="690"/>
      <c r="E40" s="690"/>
      <c r="F40" s="690"/>
      <c r="G40" s="687"/>
      <c r="H40" s="687"/>
      <c r="I40" s="687"/>
      <c r="J40" s="687"/>
      <c r="K40" s="687"/>
    </row>
    <row r="41" spans="1:11" x14ac:dyDescent="0.35">
      <c r="B41" s="690" t="s">
        <v>756</v>
      </c>
      <c r="C41" s="690"/>
      <c r="D41" s="690"/>
      <c r="E41" s="690"/>
      <c r="F41" s="690"/>
      <c r="G41" s="687"/>
      <c r="H41" s="687"/>
      <c r="I41" s="687"/>
      <c r="J41" s="687"/>
      <c r="K41" s="687"/>
    </row>
    <row r="42" spans="1:11" x14ac:dyDescent="0.35">
      <c r="B42" s="696"/>
      <c r="C42" s="690"/>
      <c r="D42" s="690"/>
      <c r="E42" s="690"/>
      <c r="F42" s="690"/>
      <c r="G42" s="687"/>
      <c r="H42" s="687"/>
      <c r="I42" s="687"/>
      <c r="J42" s="687"/>
      <c r="K42" s="687"/>
    </row>
    <row r="43" spans="1:11" x14ac:dyDescent="0.35">
      <c r="A43" s="688"/>
      <c r="B43" s="690"/>
      <c r="C43" s="690"/>
      <c r="D43" s="690"/>
      <c r="E43" s="690"/>
      <c r="F43" s="690"/>
      <c r="G43" s="687"/>
      <c r="H43" s="687"/>
      <c r="I43" s="687"/>
      <c r="J43" s="687"/>
      <c r="K43" s="687"/>
    </row>
    <row r="44" spans="1:11" x14ac:dyDescent="0.35">
      <c r="B44" s="690"/>
      <c r="C44" s="690"/>
      <c r="D44" s="690"/>
      <c r="E44" s="690"/>
      <c r="F44" s="690"/>
      <c r="G44" s="687"/>
      <c r="H44" s="687"/>
      <c r="I44" s="687"/>
      <c r="J44" s="687"/>
      <c r="K44" s="687"/>
    </row>
    <row r="45" spans="1:11" x14ac:dyDescent="0.35">
      <c r="B45" s="696"/>
      <c r="C45" s="690"/>
      <c r="D45" s="690"/>
      <c r="E45" s="690"/>
      <c r="F45" s="690"/>
      <c r="G45" s="687"/>
      <c r="H45" s="687"/>
      <c r="I45" s="687"/>
      <c r="J45" s="687"/>
      <c r="K45" s="687"/>
    </row>
    <row r="46" spans="1:11" x14ac:dyDescent="0.35">
      <c r="A46" s="690" t="s">
        <v>504</v>
      </c>
      <c r="B46" s="690"/>
      <c r="C46" s="690"/>
      <c r="D46" s="690"/>
      <c r="E46" s="690"/>
      <c r="F46" s="687"/>
      <c r="G46" s="687"/>
      <c r="H46" s="687"/>
      <c r="I46" s="687"/>
      <c r="J46" s="687"/>
      <c r="K46" s="687"/>
    </row>
    <row r="47" spans="1:11" x14ac:dyDescent="0.35">
      <c r="B47" s="687"/>
      <c r="C47" s="687"/>
      <c r="D47" s="687"/>
      <c r="E47" s="687"/>
      <c r="F47" s="687"/>
      <c r="G47" s="687"/>
      <c r="H47" s="687"/>
      <c r="I47" s="687"/>
      <c r="J47" s="687"/>
      <c r="K47" s="687"/>
    </row>
    <row r="48" spans="1:11" x14ac:dyDescent="0.35">
      <c r="B48" s="687"/>
      <c r="C48" s="687"/>
      <c r="D48" s="687"/>
      <c r="E48" s="687"/>
      <c r="F48" s="687"/>
      <c r="G48" s="687"/>
      <c r="H48" s="687"/>
      <c r="I48" s="687"/>
      <c r="J48" s="687"/>
      <c r="K48" s="687"/>
    </row>
    <row r="49" spans="1:16" x14ac:dyDescent="0.35">
      <c r="B49" s="687"/>
      <c r="C49" s="687"/>
      <c r="D49" s="687"/>
      <c r="E49" s="687"/>
      <c r="F49" s="687"/>
      <c r="G49" s="687"/>
      <c r="H49" s="687"/>
      <c r="I49" s="687"/>
      <c r="J49" s="687"/>
      <c r="K49" s="687"/>
      <c r="L49" s="687"/>
      <c r="M49" s="687"/>
      <c r="N49" s="687"/>
      <c r="O49" s="687"/>
      <c r="P49" s="687"/>
    </row>
    <row r="58" spans="1:16" ht="16" thickBot="1" x14ac:dyDescent="0.4">
      <c r="A58" s="1678"/>
      <c r="B58" s="1678"/>
      <c r="C58" s="1678"/>
      <c r="D58" s="1678"/>
      <c r="E58" s="1678"/>
      <c r="F58" s="1679" t="s">
        <v>72</v>
      </c>
      <c r="G58" s="1680"/>
      <c r="H58" s="1680"/>
      <c r="I58" s="1680"/>
      <c r="J58" s="1680"/>
      <c r="K58" s="1680"/>
      <c r="L58" s="1680"/>
      <c r="M58" s="1680"/>
      <c r="N58" s="1680"/>
      <c r="O58" s="1680"/>
      <c r="P58" s="1681"/>
    </row>
    <row r="59" spans="1:16" ht="15" thickTop="1" x14ac:dyDescent="0.35">
      <c r="A59" s="87"/>
      <c r="B59" s="87"/>
      <c r="C59" s="87"/>
      <c r="D59" s="87"/>
      <c r="E59" s="87"/>
      <c r="F59" s="87"/>
      <c r="G59" s="457"/>
      <c r="H59" s="457"/>
      <c r="I59" s="457"/>
      <c r="J59" s="457"/>
      <c r="K59" s="457"/>
      <c r="L59" s="457"/>
      <c r="M59" s="457"/>
      <c r="N59" s="457"/>
      <c r="O59" s="457"/>
      <c r="P59" s="457"/>
    </row>
  </sheetData>
  <mergeCells count="7">
    <mergeCell ref="A1:F1"/>
    <mergeCell ref="C10:C11"/>
    <mergeCell ref="D10:D11"/>
    <mergeCell ref="E10:E11"/>
    <mergeCell ref="B7:E7"/>
    <mergeCell ref="C4:C5"/>
    <mergeCell ref="D4:F5"/>
  </mergeCells>
  <hyperlinks>
    <hyperlink ref="C3" location="'Welcome'!C15" display="  = Data entry needed. See color legend on Welcome tab for more info.  " xr:uid="{41BC8EE8-D946-4770-96C7-7105798B712B}"/>
    <hyperlink ref="B4" location="'Glossary-FAQs'!A1" display="Glossary/FAQ" xr:uid="{B2CB2D1C-18FA-41B4-9703-9947D8D44548}"/>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FFC000"/>
  </sheetPr>
  <dimension ref="A1:X73"/>
  <sheetViews>
    <sheetView zoomScale="96" zoomScaleNormal="100" workbookViewId="0">
      <selection activeCell="A2" sqref="A2"/>
    </sheetView>
  </sheetViews>
  <sheetFormatPr defaultColWidth="9.1796875" defaultRowHeight="14.5" x14ac:dyDescent="0.35"/>
  <cols>
    <col min="1" max="1" width="7.26953125" style="45" customWidth="1"/>
    <col min="2" max="3" width="15.81640625" style="45" customWidth="1"/>
    <col min="4" max="4" width="24.453125" style="45" customWidth="1"/>
    <col min="5" max="5" width="11.81640625" style="45" customWidth="1"/>
    <col min="6" max="6" width="17.453125" style="45" customWidth="1"/>
    <col min="7" max="7" width="19" style="45" customWidth="1"/>
    <col min="8" max="8" width="13.453125" style="45" customWidth="1"/>
    <col min="9" max="9" width="17.7265625" style="45" customWidth="1"/>
    <col min="10" max="10" width="14.1796875" style="45" customWidth="1"/>
    <col min="11" max="12" width="9.1796875" style="45"/>
    <col min="13" max="13" width="13.81640625" style="45" customWidth="1"/>
    <col min="14" max="16384" width="9.1796875" style="45"/>
  </cols>
  <sheetData>
    <row r="1" spans="1:24" ht="21" customHeight="1" thickBot="1" x14ac:dyDescent="0.55000000000000004">
      <c r="A1" s="1920" t="s">
        <v>166</v>
      </c>
      <c r="B1" s="1921"/>
      <c r="C1" s="1921"/>
      <c r="D1" s="1921"/>
      <c r="E1" s="1921"/>
      <c r="F1" s="1921"/>
      <c r="G1" s="1921"/>
      <c r="H1" s="1921"/>
      <c r="I1" s="1921"/>
      <c r="J1" s="1921"/>
      <c r="K1" s="1922"/>
      <c r="L1" s="457"/>
      <c r="M1" s="457"/>
      <c r="N1" s="457"/>
      <c r="O1" s="457"/>
      <c r="P1" s="457"/>
      <c r="Q1" s="457"/>
      <c r="R1" s="457"/>
      <c r="S1" s="457"/>
      <c r="T1" s="457"/>
      <c r="U1" s="457"/>
      <c r="V1" s="457"/>
      <c r="W1" s="457"/>
      <c r="X1" s="457"/>
    </row>
    <row r="2" spans="1:24" s="16" customFormat="1" x14ac:dyDescent="0.35">
      <c r="A2" s="687"/>
      <c r="B2" s="100"/>
      <c r="C2" s="687"/>
      <c r="D2" s="457"/>
      <c r="E2" s="687"/>
      <c r="F2" s="687"/>
    </row>
    <row r="3" spans="1:24" customFormat="1" x14ac:dyDescent="0.35">
      <c r="A3" s="457"/>
      <c r="B3" s="1558" t="s">
        <v>265</v>
      </c>
      <c r="C3" s="1617" t="s">
        <v>432</v>
      </c>
      <c r="D3" s="250"/>
      <c r="E3" s="250"/>
      <c r="F3" s="250"/>
      <c r="G3" s="1550" t="s">
        <v>264</v>
      </c>
      <c r="H3" s="250"/>
      <c r="I3" s="250"/>
      <c r="J3" s="250"/>
      <c r="K3" s="44"/>
      <c r="L3" s="44"/>
      <c r="M3" s="44"/>
      <c r="N3" s="44"/>
      <c r="O3" s="44"/>
      <c r="P3" s="44"/>
      <c r="Q3" s="44"/>
      <c r="R3" s="44"/>
      <c r="S3" s="687"/>
      <c r="T3" s="44"/>
      <c r="U3" s="44"/>
      <c r="V3" s="44"/>
      <c r="W3" s="44"/>
      <c r="X3" s="44"/>
    </row>
    <row r="4" spans="1:24" customFormat="1" x14ac:dyDescent="0.35">
      <c r="A4" s="44"/>
      <c r="B4" s="1667" t="s">
        <v>268</v>
      </c>
      <c r="C4" s="44"/>
      <c r="D4" s="44"/>
      <c r="E4" s="44"/>
      <c r="F4" s="44"/>
      <c r="G4" s="1621" t="s">
        <v>757</v>
      </c>
      <c r="H4" s="44"/>
      <c r="I4" s="44"/>
      <c r="J4" s="687"/>
      <c r="K4" s="44"/>
      <c r="L4" s="44"/>
      <c r="M4" s="44"/>
      <c r="N4" s="44"/>
      <c r="O4" s="44"/>
      <c r="P4" s="44"/>
      <c r="Q4" s="44"/>
      <c r="R4" s="44"/>
      <c r="S4" s="687"/>
      <c r="T4" s="44"/>
      <c r="U4" s="44"/>
      <c r="V4" s="44"/>
      <c r="W4" s="44"/>
      <c r="X4" s="44"/>
    </row>
    <row r="5" spans="1:24" s="16" customFormat="1" ht="15" thickBot="1" x14ac:dyDescent="0.4">
      <c r="A5" s="687"/>
      <c r="B5" s="100"/>
      <c r="C5" s="687"/>
      <c r="D5" s="457"/>
      <c r="E5" s="687"/>
      <c r="F5" s="687"/>
    </row>
    <row r="6" spans="1:24" s="16" customFormat="1" ht="16" thickBot="1" x14ac:dyDescent="0.4">
      <c r="A6" s="843" t="str">
        <f>(brew1_abb&amp;" Water Data")</f>
        <v>MAIN Water Data</v>
      </c>
      <c r="B6" s="844"/>
      <c r="C6" s="687"/>
      <c r="D6" s="457"/>
      <c r="E6" s="687"/>
    </row>
    <row r="7" spans="1:24" ht="15" customHeight="1" thickBot="1" x14ac:dyDescent="0.4">
      <c r="A7" s="810"/>
      <c r="B7" s="1923" t="s">
        <v>758</v>
      </c>
      <c r="C7" s="1924"/>
      <c r="D7" s="1924"/>
      <c r="E7" s="862"/>
      <c r="F7" s="1841" t="s">
        <v>759</v>
      </c>
      <c r="G7" s="1842"/>
      <c r="H7" s="1842"/>
      <c r="I7" s="1842"/>
      <c r="J7" s="1843"/>
      <c r="K7" s="863"/>
      <c r="L7" s="457"/>
      <c r="M7" s="457"/>
      <c r="N7" s="457"/>
      <c r="O7" s="457"/>
      <c r="P7" s="457"/>
      <c r="Q7" s="457"/>
      <c r="R7" s="457"/>
      <c r="S7" s="457"/>
      <c r="T7" s="457"/>
      <c r="U7" s="457"/>
      <c r="V7" s="457"/>
      <c r="W7" s="457"/>
      <c r="X7" s="457"/>
    </row>
    <row r="8" spans="1:24" x14ac:dyDescent="0.35">
      <c r="A8" s="49"/>
      <c r="B8" s="1206" t="s">
        <v>434</v>
      </c>
      <c r="C8" s="1206" t="s">
        <v>435</v>
      </c>
      <c r="D8" s="229" t="s">
        <v>760</v>
      </c>
      <c r="E8" s="457"/>
      <c r="F8" s="303">
        <v>1500</v>
      </c>
      <c r="G8" s="197" t="s">
        <v>761</v>
      </c>
      <c r="H8" s="197"/>
      <c r="I8" s="197"/>
      <c r="J8" s="304"/>
      <c r="K8" s="106"/>
      <c r="L8" s="457"/>
      <c r="M8" s="457"/>
      <c r="N8" s="457"/>
      <c r="O8" s="457"/>
      <c r="P8" s="457"/>
      <c r="Q8" s="457"/>
      <c r="R8" s="457"/>
      <c r="S8" s="457"/>
      <c r="T8" s="457"/>
      <c r="U8" s="457"/>
      <c r="V8" s="457"/>
      <c r="W8" s="457"/>
      <c r="X8" s="457"/>
    </row>
    <row r="9" spans="1:24" x14ac:dyDescent="0.35">
      <c r="A9" s="49"/>
      <c r="B9" s="1191">
        <f t="shared" ref="B9:B20" si="0">ghg_year</f>
        <v>2020</v>
      </c>
      <c r="C9" s="1193" t="s">
        <v>443</v>
      </c>
      <c r="D9" s="300">
        <v>80000</v>
      </c>
      <c r="E9" s="457"/>
      <c r="F9" s="305">
        <f>F8/1000000</f>
        <v>1.5E-3</v>
      </c>
      <c r="G9" s="306" t="s">
        <v>762</v>
      </c>
      <c r="H9" s="306"/>
      <c r="I9" s="306"/>
      <c r="J9" s="307"/>
      <c r="K9" s="106"/>
      <c r="L9" s="457"/>
      <c r="M9" s="457"/>
      <c r="N9" s="457"/>
      <c r="O9" s="457"/>
      <c r="P9" s="457"/>
      <c r="Q9" s="457"/>
      <c r="R9" s="457"/>
      <c r="S9" s="457"/>
      <c r="T9" s="457"/>
      <c r="U9" s="457"/>
      <c r="V9" s="457"/>
      <c r="W9" s="457"/>
      <c r="X9" s="457"/>
    </row>
    <row r="10" spans="1:24" x14ac:dyDescent="0.35">
      <c r="A10" s="49"/>
      <c r="B10" s="1191">
        <f t="shared" si="0"/>
        <v>2020</v>
      </c>
      <c r="C10" s="1194" t="s">
        <v>444</v>
      </c>
      <c r="D10" s="300">
        <v>80000</v>
      </c>
      <c r="E10" s="457"/>
      <c r="F10" s="457"/>
      <c r="G10" s="457"/>
      <c r="H10" s="457"/>
      <c r="I10" s="457"/>
      <c r="J10" s="457"/>
      <c r="K10" s="106"/>
      <c r="L10" s="457"/>
      <c r="M10" s="457"/>
      <c r="N10" s="457"/>
      <c r="O10" s="457"/>
      <c r="P10" s="457"/>
      <c r="Q10" s="457"/>
      <c r="R10" s="457"/>
      <c r="S10" s="457"/>
      <c r="T10" s="457"/>
      <c r="U10" s="457"/>
      <c r="V10" s="457"/>
      <c r="W10" s="457"/>
      <c r="X10" s="457"/>
    </row>
    <row r="11" spans="1:24" x14ac:dyDescent="0.35">
      <c r="A11" s="49"/>
      <c r="B11" s="1191">
        <f t="shared" si="0"/>
        <v>2020</v>
      </c>
      <c r="C11" s="1194" t="s">
        <v>445</v>
      </c>
      <c r="D11" s="300">
        <v>80000</v>
      </c>
      <c r="E11" s="457"/>
      <c r="F11" s="457"/>
      <c r="G11" s="457"/>
      <c r="H11" s="457"/>
      <c r="I11" s="457"/>
      <c r="J11" s="457"/>
      <c r="K11" s="106"/>
      <c r="L11" s="457"/>
      <c r="M11" s="457"/>
      <c r="N11" s="457"/>
      <c r="O11" s="457"/>
      <c r="P11" s="457"/>
      <c r="Q11" s="457"/>
      <c r="R11" s="457"/>
      <c r="S11" s="457"/>
      <c r="T11" s="457"/>
      <c r="U11" s="457"/>
      <c r="V11" s="457"/>
      <c r="W11" s="457"/>
      <c r="X11" s="457"/>
    </row>
    <row r="12" spans="1:24" ht="15" thickBot="1" x14ac:dyDescent="0.4">
      <c r="A12" s="49"/>
      <c r="B12" s="1191">
        <f t="shared" si="0"/>
        <v>2020</v>
      </c>
      <c r="C12" s="1194" t="s">
        <v>446</v>
      </c>
      <c r="D12" s="300">
        <v>80000</v>
      </c>
      <c r="E12" s="457"/>
      <c r="F12" s="107"/>
      <c r="G12" s="457"/>
      <c r="H12" s="457"/>
      <c r="I12" s="457"/>
      <c r="J12" s="457"/>
      <c r="K12" s="106"/>
      <c r="L12" s="457"/>
      <c r="M12" s="457"/>
      <c r="N12" s="457"/>
      <c r="O12" s="457"/>
      <c r="P12" s="457"/>
      <c r="Q12" s="457"/>
      <c r="R12" s="457"/>
      <c r="S12" s="457"/>
      <c r="T12" s="457"/>
      <c r="U12" s="457"/>
      <c r="V12" s="457"/>
      <c r="W12" s="457"/>
      <c r="X12" s="457"/>
    </row>
    <row r="13" spans="1:24" ht="15" thickBot="1" x14ac:dyDescent="0.4">
      <c r="A13" s="49"/>
      <c r="B13" s="1191">
        <f t="shared" si="0"/>
        <v>2020</v>
      </c>
      <c r="C13" s="1194" t="s">
        <v>447</v>
      </c>
      <c r="D13" s="300">
        <v>80000</v>
      </c>
      <c r="E13" s="457"/>
      <c r="F13" s="1841" t="s">
        <v>763</v>
      </c>
      <c r="G13" s="1842"/>
      <c r="H13" s="1842"/>
      <c r="I13" s="1842"/>
      <c r="J13" s="1843"/>
      <c r="K13" s="106"/>
      <c r="L13" s="457"/>
      <c r="M13" s="457"/>
      <c r="N13" s="457"/>
      <c r="O13" s="457"/>
      <c r="P13" s="457"/>
      <c r="Q13" s="457"/>
      <c r="R13" s="457"/>
      <c r="S13" s="457"/>
      <c r="T13" s="457"/>
      <c r="U13" s="457"/>
      <c r="V13" s="457"/>
      <c r="W13" s="457"/>
      <c r="X13" s="457"/>
    </row>
    <row r="14" spans="1:24" x14ac:dyDescent="0.35">
      <c r="A14" s="49"/>
      <c r="B14" s="1191">
        <f t="shared" si="0"/>
        <v>2020</v>
      </c>
      <c r="C14" s="1194" t="s">
        <v>448</v>
      </c>
      <c r="D14" s="300">
        <v>80000</v>
      </c>
      <c r="E14" s="457"/>
      <c r="F14" s="1406">
        <f>D21</f>
        <v>960000</v>
      </c>
      <c r="G14" s="689" t="s">
        <v>764</v>
      </c>
      <c r="H14" s="689"/>
      <c r="I14" s="689"/>
      <c r="J14" s="681"/>
      <c r="K14" s="106"/>
      <c r="L14" s="457"/>
      <c r="M14" s="457"/>
      <c r="N14" s="457"/>
      <c r="O14" s="457"/>
      <c r="P14" s="457"/>
      <c r="Q14" s="457"/>
      <c r="R14" s="457"/>
      <c r="S14" s="457"/>
      <c r="T14" s="457"/>
      <c r="U14" s="457"/>
      <c r="V14" s="457"/>
      <c r="W14" s="457"/>
      <c r="X14" s="457"/>
    </row>
    <row r="15" spans="1:24" x14ac:dyDescent="0.35">
      <c r="A15" s="49"/>
      <c r="B15" s="1191">
        <f t="shared" si="0"/>
        <v>2020</v>
      </c>
      <c r="C15" s="1194" t="s">
        <v>449</v>
      </c>
      <c r="D15" s="300">
        <v>80000</v>
      </c>
      <c r="E15" s="457"/>
      <c r="F15" s="311">
        <f>F9</f>
        <v>1.5E-3</v>
      </c>
      <c r="G15" s="689" t="s">
        <v>762</v>
      </c>
      <c r="H15" s="689"/>
      <c r="I15" s="689"/>
      <c r="J15" s="681"/>
      <c r="K15" s="106"/>
      <c r="L15" s="457"/>
      <c r="M15" s="457"/>
      <c r="N15" s="457"/>
      <c r="O15" s="457"/>
      <c r="P15" s="457"/>
      <c r="Q15" s="457"/>
      <c r="R15" s="457"/>
      <c r="S15" s="457"/>
      <c r="T15" s="457"/>
      <c r="U15" s="457"/>
      <c r="V15" s="457"/>
      <c r="W15" s="457"/>
      <c r="X15" s="457"/>
    </row>
    <row r="16" spans="1:24" x14ac:dyDescent="0.35">
      <c r="A16" s="49"/>
      <c r="B16" s="1191">
        <f t="shared" si="0"/>
        <v>2020</v>
      </c>
      <c r="C16" s="1194" t="s">
        <v>450</v>
      </c>
      <c r="D16" s="300">
        <v>80000</v>
      </c>
      <c r="E16" s="457"/>
      <c r="F16" s="1406">
        <f>F14*F15</f>
        <v>1440</v>
      </c>
      <c r="G16" s="689" t="s">
        <v>765</v>
      </c>
      <c r="H16" s="689"/>
      <c r="I16" s="689"/>
      <c r="J16" s="681"/>
      <c r="K16" s="106"/>
      <c r="L16" s="457"/>
      <c r="M16" s="457"/>
      <c r="N16" s="457"/>
      <c r="O16" s="457"/>
      <c r="P16" s="457"/>
      <c r="Q16" s="457"/>
      <c r="R16" s="457"/>
      <c r="S16" s="457"/>
      <c r="T16" s="457"/>
      <c r="U16" s="457"/>
      <c r="V16" s="457"/>
      <c r="W16" s="457"/>
      <c r="X16" s="457"/>
    </row>
    <row r="17" spans="1:11" ht="15" thickBot="1" x14ac:dyDescent="0.4">
      <c r="A17" s="49"/>
      <c r="B17" s="1191">
        <f t="shared" si="0"/>
        <v>2020</v>
      </c>
      <c r="C17" s="1194" t="s">
        <v>451</v>
      </c>
      <c r="D17" s="300">
        <v>80000</v>
      </c>
      <c r="E17" s="457"/>
      <c r="F17" s="1618">
        <f>'Brewery-Electricity'!C28</f>
        <v>0.57770117028032286</v>
      </c>
      <c r="G17" s="310" t="s">
        <v>766</v>
      </c>
      <c r="H17" s="689"/>
      <c r="I17" s="689"/>
      <c r="J17" s="681"/>
      <c r="K17" s="106"/>
    </row>
    <row r="18" spans="1:11" ht="15" thickBot="1" x14ac:dyDescent="0.4">
      <c r="A18" s="49"/>
      <c r="B18" s="1191">
        <f t="shared" si="0"/>
        <v>2020</v>
      </c>
      <c r="C18" s="1194" t="s">
        <v>452</v>
      </c>
      <c r="D18" s="300">
        <v>80000</v>
      </c>
      <c r="E18" s="457"/>
      <c r="F18" s="878">
        <f>F16*F17</f>
        <v>831.88968520366495</v>
      </c>
      <c r="G18" s="360" t="s">
        <v>767</v>
      </c>
      <c r="H18" s="360"/>
      <c r="I18" s="360"/>
      <c r="J18" s="352"/>
      <c r="K18" s="106"/>
    </row>
    <row r="19" spans="1:11" ht="15" thickBot="1" x14ac:dyDescent="0.4">
      <c r="A19" s="49"/>
      <c r="B19" s="1191">
        <f t="shared" si="0"/>
        <v>2020</v>
      </c>
      <c r="C19" s="1194" t="s">
        <v>453</v>
      </c>
      <c r="D19" s="300">
        <v>80000</v>
      </c>
      <c r="E19" s="457"/>
      <c r="F19" s="632">
        <f>'Brewery-Control Data'!B10</f>
        <v>123215.153565</v>
      </c>
      <c r="G19" s="298" t="s">
        <v>276</v>
      </c>
      <c r="H19" s="689"/>
      <c r="I19" s="689"/>
      <c r="J19" s="681"/>
      <c r="K19" s="106"/>
    </row>
    <row r="20" spans="1:11" ht="15" thickBot="1" x14ac:dyDescent="0.4">
      <c r="A20" s="49"/>
      <c r="B20" s="1191">
        <f t="shared" si="0"/>
        <v>2020</v>
      </c>
      <c r="C20" s="1195" t="s">
        <v>454</v>
      </c>
      <c r="D20" s="300">
        <v>80000</v>
      </c>
      <c r="E20" s="313"/>
      <c r="F20" s="684">
        <f>F18/F19</f>
        <v>6.7515209057854731E-3</v>
      </c>
      <c r="G20" s="438" t="s">
        <v>768</v>
      </c>
      <c r="H20" s="438"/>
      <c r="I20" s="438"/>
      <c r="J20" s="685"/>
      <c r="K20" s="106"/>
    </row>
    <row r="21" spans="1:11" ht="15" thickBot="1" x14ac:dyDescent="0.4">
      <c r="A21" s="836"/>
      <c r="B21" s="301" t="s">
        <v>442</v>
      </c>
      <c r="C21" s="302"/>
      <c r="D21" s="302">
        <f>SUM(D9:D20)</f>
        <v>960000</v>
      </c>
      <c r="E21" s="543"/>
      <c r="F21" s="1619">
        <f>F18/F14</f>
        <v>8.6655175542048432E-4</v>
      </c>
      <c r="G21" s="1620" t="s">
        <v>769</v>
      </c>
      <c r="H21" s="864"/>
      <c r="I21" s="864"/>
      <c r="J21" s="865"/>
      <c r="K21" s="866"/>
    </row>
    <row r="22" spans="1:11" s="457" customFormat="1" x14ac:dyDescent="0.35">
      <c r="A22" s="687"/>
      <c r="B22" s="858"/>
      <c r="C22" s="859"/>
      <c r="F22" s="860"/>
      <c r="G22" s="860"/>
      <c r="H22" s="860"/>
      <c r="I22" s="860"/>
      <c r="J22" s="861"/>
    </row>
    <row r="23" spans="1:11" s="457" customFormat="1" ht="15" thickBot="1" x14ac:dyDescent="0.4">
      <c r="A23" s="687"/>
      <c r="B23" s="858"/>
      <c r="C23" s="859"/>
      <c r="F23" s="860"/>
      <c r="G23" s="860"/>
      <c r="H23" s="860"/>
      <c r="I23" s="860"/>
      <c r="J23" s="861"/>
    </row>
    <row r="24" spans="1:11" s="457" customFormat="1" ht="16" thickBot="1" x14ac:dyDescent="0.4">
      <c r="A24" s="843" t="str">
        <f>(brew2_abb&amp;" Water Data")</f>
        <v>2ND Water Data</v>
      </c>
      <c r="B24" s="844"/>
      <c r="C24" s="687"/>
      <c r="E24" s="687"/>
      <c r="F24" s="16"/>
      <c r="G24" s="16"/>
      <c r="H24" s="16"/>
      <c r="I24" s="16"/>
      <c r="J24" s="16"/>
    </row>
    <row r="25" spans="1:11" s="457" customFormat="1" ht="15" thickBot="1" x14ac:dyDescent="0.4">
      <c r="A25" s="810"/>
      <c r="B25" s="1923" t="s">
        <v>758</v>
      </c>
      <c r="C25" s="1924"/>
      <c r="D25" s="1924"/>
      <c r="E25" s="862"/>
      <c r="F25" s="1841" t="s">
        <v>763</v>
      </c>
      <c r="G25" s="1842"/>
      <c r="H25" s="1842"/>
      <c r="I25" s="1842"/>
      <c r="J25" s="1843"/>
      <c r="K25" s="863"/>
    </row>
    <row r="26" spans="1:11" s="457" customFormat="1" x14ac:dyDescent="0.35">
      <c r="A26" s="49"/>
      <c r="B26" s="1206" t="s">
        <v>434</v>
      </c>
      <c r="C26" s="1206" t="s">
        <v>435</v>
      </c>
      <c r="D26" s="229" t="s">
        <v>760</v>
      </c>
      <c r="F26" s="1406">
        <f>D39</f>
        <v>600000</v>
      </c>
      <c r="G26" s="689" t="s">
        <v>764</v>
      </c>
      <c r="H26" s="689"/>
      <c r="I26" s="689"/>
      <c r="J26" s="681"/>
      <c r="K26" s="106"/>
    </row>
    <row r="27" spans="1:11" s="457" customFormat="1" x14ac:dyDescent="0.35">
      <c r="A27" s="49"/>
      <c r="B27" s="1191">
        <f t="shared" ref="B27:B38" si="1">ghg_year</f>
        <v>2020</v>
      </c>
      <c r="C27" s="1193" t="s">
        <v>443</v>
      </c>
      <c r="D27" s="300">
        <v>50000</v>
      </c>
      <c r="F27" s="311">
        <f>F9</f>
        <v>1.5E-3</v>
      </c>
      <c r="G27" s="689" t="s">
        <v>762</v>
      </c>
      <c r="H27" s="689"/>
      <c r="I27" s="689"/>
      <c r="J27" s="681"/>
      <c r="K27" s="106"/>
    </row>
    <row r="28" spans="1:11" s="457" customFormat="1" x14ac:dyDescent="0.35">
      <c r="A28" s="49"/>
      <c r="B28" s="1191">
        <f t="shared" si="1"/>
        <v>2020</v>
      </c>
      <c r="C28" s="1194" t="s">
        <v>444</v>
      </c>
      <c r="D28" s="300">
        <v>50000</v>
      </c>
      <c r="F28" s="1406">
        <f>F26*F27</f>
        <v>900</v>
      </c>
      <c r="G28" s="689" t="s">
        <v>765</v>
      </c>
      <c r="H28" s="689"/>
      <c r="I28" s="689"/>
      <c r="J28" s="681"/>
      <c r="K28" s="106"/>
    </row>
    <row r="29" spans="1:11" s="457" customFormat="1" ht="15" thickBot="1" x14ac:dyDescent="0.4">
      <c r="A29" s="49"/>
      <c r="B29" s="1191">
        <f t="shared" si="1"/>
        <v>2020</v>
      </c>
      <c r="C29" s="1194" t="s">
        <v>445</v>
      </c>
      <c r="D29" s="300">
        <v>50000</v>
      </c>
      <c r="F29" s="1618">
        <f>'Brewery-Electricity'!C72</f>
        <v>0.33715866823913632</v>
      </c>
      <c r="G29" s="310" t="s">
        <v>766</v>
      </c>
      <c r="H29" s="689"/>
      <c r="I29" s="689"/>
      <c r="J29" s="681"/>
      <c r="K29" s="106"/>
    </row>
    <row r="30" spans="1:11" s="457" customFormat="1" ht="15" thickBot="1" x14ac:dyDescent="0.4">
      <c r="A30" s="49"/>
      <c r="B30" s="1191">
        <f t="shared" si="1"/>
        <v>2020</v>
      </c>
      <c r="C30" s="1194" t="s">
        <v>446</v>
      </c>
      <c r="D30" s="300">
        <v>50000</v>
      </c>
      <c r="F30" s="878">
        <f>F28*F29</f>
        <v>303.44280141522268</v>
      </c>
      <c r="G30" s="360" t="s">
        <v>767</v>
      </c>
      <c r="H30" s="360"/>
      <c r="I30" s="360"/>
      <c r="J30" s="352"/>
      <c r="K30" s="106"/>
    </row>
    <row r="31" spans="1:11" s="457" customFormat="1" ht="15" thickBot="1" x14ac:dyDescent="0.4">
      <c r="A31" s="49"/>
      <c r="B31" s="1191">
        <f t="shared" si="1"/>
        <v>2020</v>
      </c>
      <c r="C31" s="1194" t="s">
        <v>447</v>
      </c>
      <c r="D31" s="300">
        <v>50000</v>
      </c>
      <c r="F31" s="632">
        <f>'Brewery-Control Data'!E10</f>
        <v>88010.823974999992</v>
      </c>
      <c r="G31" s="298" t="s">
        <v>276</v>
      </c>
      <c r="H31" s="689"/>
      <c r="I31" s="689"/>
      <c r="J31" s="681"/>
      <c r="K31" s="106"/>
    </row>
    <row r="32" spans="1:11" s="457" customFormat="1" ht="15" thickBot="1" x14ac:dyDescent="0.4">
      <c r="A32" s="49"/>
      <c r="B32" s="1191">
        <f t="shared" si="1"/>
        <v>2020</v>
      </c>
      <c r="C32" s="1194" t="s">
        <v>448</v>
      </c>
      <c r="D32" s="300">
        <v>50000</v>
      </c>
      <c r="F32" s="684">
        <f>F30/F31</f>
        <v>3.4477895753074355E-3</v>
      </c>
      <c r="G32" s="438" t="s">
        <v>768</v>
      </c>
      <c r="H32" s="438"/>
      <c r="I32" s="438"/>
      <c r="J32" s="685"/>
      <c r="K32" s="106"/>
    </row>
    <row r="33" spans="1:11" s="457" customFormat="1" ht="15" thickBot="1" x14ac:dyDescent="0.4">
      <c r="A33" s="49"/>
      <c r="B33" s="1191">
        <f t="shared" si="1"/>
        <v>2020</v>
      </c>
      <c r="C33" s="1194" t="s">
        <v>449</v>
      </c>
      <c r="D33" s="300">
        <v>50000</v>
      </c>
      <c r="F33" s="1619">
        <f>F30/F26</f>
        <v>5.0573800235870442E-4</v>
      </c>
      <c r="G33" s="1620" t="s">
        <v>769</v>
      </c>
      <c r="H33" s="864"/>
      <c r="I33" s="864"/>
      <c r="J33" s="865"/>
      <c r="K33" s="106"/>
    </row>
    <row r="34" spans="1:11" s="457" customFormat="1" x14ac:dyDescent="0.35">
      <c r="A34" s="49"/>
      <c r="B34" s="1191">
        <f t="shared" si="1"/>
        <v>2020</v>
      </c>
      <c r="C34" s="1194" t="s">
        <v>450</v>
      </c>
      <c r="D34" s="300">
        <v>50000</v>
      </c>
      <c r="K34" s="106"/>
    </row>
    <row r="35" spans="1:11" s="457" customFormat="1" x14ac:dyDescent="0.35">
      <c r="A35" s="49"/>
      <c r="B35" s="1191">
        <f t="shared" si="1"/>
        <v>2020</v>
      </c>
      <c r="C35" s="1194" t="s">
        <v>451</v>
      </c>
      <c r="D35" s="300">
        <v>50000</v>
      </c>
      <c r="K35" s="106"/>
    </row>
    <row r="36" spans="1:11" s="457" customFormat="1" x14ac:dyDescent="0.35">
      <c r="A36" s="49"/>
      <c r="B36" s="1191">
        <f t="shared" si="1"/>
        <v>2020</v>
      </c>
      <c r="C36" s="1194" t="s">
        <v>452</v>
      </c>
      <c r="D36" s="300">
        <v>50000</v>
      </c>
      <c r="K36" s="106"/>
    </row>
    <row r="37" spans="1:11" s="457" customFormat="1" x14ac:dyDescent="0.35">
      <c r="A37" s="49"/>
      <c r="B37" s="1191">
        <f t="shared" si="1"/>
        <v>2020</v>
      </c>
      <c r="C37" s="1194" t="s">
        <v>453</v>
      </c>
      <c r="D37" s="300">
        <v>50000</v>
      </c>
      <c r="K37" s="106"/>
    </row>
    <row r="38" spans="1:11" s="457" customFormat="1" ht="15" thickBot="1" x14ac:dyDescent="0.4">
      <c r="A38" s="49"/>
      <c r="B38" s="1191">
        <f t="shared" si="1"/>
        <v>2020</v>
      </c>
      <c r="C38" s="1195" t="s">
        <v>454</v>
      </c>
      <c r="D38" s="300">
        <v>50000</v>
      </c>
      <c r="E38" s="313"/>
      <c r="K38" s="106"/>
    </row>
    <row r="39" spans="1:11" s="457" customFormat="1" ht="15" thickBot="1" x14ac:dyDescent="0.4">
      <c r="A39" s="836"/>
      <c r="B39" s="301" t="s">
        <v>442</v>
      </c>
      <c r="C39" s="302">
        <f>SUM(C27:C38)</f>
        <v>0</v>
      </c>
      <c r="D39" s="302">
        <f>SUM(D27:D38)</f>
        <v>600000</v>
      </c>
      <c r="E39" s="543"/>
      <c r="F39" s="543"/>
      <c r="G39" s="543"/>
      <c r="H39" s="543"/>
      <c r="I39" s="543"/>
      <c r="J39" s="543"/>
      <c r="K39" s="866"/>
    </row>
    <row r="40" spans="1:11" s="457" customFormat="1" x14ac:dyDescent="0.35">
      <c r="A40" s="687"/>
      <c r="B40" s="858"/>
      <c r="C40" s="859"/>
      <c r="F40" s="860"/>
      <c r="G40" s="860"/>
      <c r="H40" s="860"/>
      <c r="I40" s="860"/>
      <c r="J40" s="861"/>
    </row>
    <row r="41" spans="1:11" s="457" customFormat="1" ht="15" thickBot="1" x14ac:dyDescent="0.4">
      <c r="A41" s="687"/>
      <c r="B41" s="858"/>
      <c r="C41" s="859"/>
      <c r="F41" s="860"/>
      <c r="G41" s="860"/>
      <c r="H41" s="860"/>
      <c r="I41" s="860"/>
      <c r="J41" s="861"/>
    </row>
    <row r="42" spans="1:11" s="457" customFormat="1" ht="16" thickBot="1" x14ac:dyDescent="0.4">
      <c r="A42" s="842" t="s">
        <v>492</v>
      </c>
      <c r="B42" s="847"/>
      <c r="C42" s="198"/>
      <c r="D42" s="199"/>
      <c r="E42" s="200"/>
      <c r="F42" s="75"/>
      <c r="G42" s="860"/>
      <c r="H42" s="860"/>
      <c r="I42" s="860"/>
      <c r="J42" s="861"/>
    </row>
    <row r="43" spans="1:11" s="457" customFormat="1" ht="16" thickBot="1" x14ac:dyDescent="0.4">
      <c r="A43" s="822"/>
      <c r="B43" s="198"/>
      <c r="C43" s="198"/>
      <c r="D43" s="199"/>
      <c r="E43" s="200"/>
      <c r="F43" s="75"/>
      <c r="G43" s="860"/>
      <c r="H43" s="860"/>
      <c r="I43" s="860"/>
      <c r="J43" s="861"/>
    </row>
    <row r="44" spans="1:11" s="457" customFormat="1" ht="15" thickBot="1" x14ac:dyDescent="0.4">
      <c r="A44" s="83"/>
      <c r="B44" s="1836" t="s">
        <v>770</v>
      </c>
      <c r="C44" s="1839"/>
      <c r="D44" s="1839"/>
      <c r="E44" s="1839"/>
      <c r="F44" s="1837"/>
      <c r="G44" s="860"/>
      <c r="H44" s="860"/>
      <c r="I44" s="860"/>
    </row>
    <row r="45" spans="1:11" s="457" customFormat="1" ht="15" thickBot="1" x14ac:dyDescent="0.4">
      <c r="A45" s="687"/>
      <c r="B45" s="277"/>
      <c r="C45" s="278"/>
      <c r="D45" s="279" t="s">
        <v>771</v>
      </c>
      <c r="E45" s="782">
        <f>F18+F30</f>
        <v>1135.3324866188877</v>
      </c>
      <c r="F45" s="280" t="s">
        <v>495</v>
      </c>
      <c r="G45" s="860"/>
      <c r="H45" s="860"/>
      <c r="I45" s="860"/>
    </row>
    <row r="46" spans="1:11" ht="15" thickBot="1" x14ac:dyDescent="0.4">
      <c r="A46" s="687"/>
      <c r="B46" s="159"/>
      <c r="C46" s="83"/>
      <c r="D46" s="198" t="s">
        <v>276</v>
      </c>
      <c r="E46" s="786">
        <f>'Brewery-Control Data'!$H$10</f>
        <v>211225.97753999999</v>
      </c>
      <c r="F46" s="790" t="s">
        <v>125</v>
      </c>
      <c r="G46" s="457"/>
      <c r="H46" s="457"/>
      <c r="I46" s="457"/>
      <c r="J46" s="457"/>
      <c r="K46" s="457"/>
    </row>
    <row r="47" spans="1:11" ht="15" thickBot="1" x14ac:dyDescent="0.4">
      <c r="A47" s="687"/>
      <c r="B47" s="333"/>
      <c r="C47" s="334"/>
      <c r="D47" s="335" t="s">
        <v>771</v>
      </c>
      <c r="E47" s="336">
        <f>E45/E46</f>
        <v>5.3749661847529578E-3</v>
      </c>
      <c r="F47" s="337" t="s">
        <v>498</v>
      </c>
      <c r="G47" s="457"/>
      <c r="H47" s="457"/>
      <c r="I47" s="457"/>
      <c r="J47" s="457"/>
      <c r="K47" s="457"/>
    </row>
    <row r="48" spans="1:11" x14ac:dyDescent="0.35">
      <c r="A48" s="457"/>
      <c r="B48" s="457"/>
      <c r="C48" s="457"/>
      <c r="D48" s="457"/>
      <c r="E48" s="457"/>
      <c r="F48" s="108"/>
      <c r="G48" s="108"/>
      <c r="H48" s="108"/>
      <c r="I48" s="108"/>
      <c r="J48" s="457"/>
      <c r="K48" s="457"/>
    </row>
    <row r="49" spans="1:24" s="457" customFormat="1" x14ac:dyDescent="0.35">
      <c r="F49" s="108"/>
      <c r="G49" s="108"/>
      <c r="H49" s="108"/>
      <c r="I49" s="108"/>
    </row>
    <row r="50" spans="1:24" s="457" customFormat="1" x14ac:dyDescent="0.35">
      <c r="F50" s="108"/>
      <c r="G50" s="108"/>
      <c r="H50" s="108"/>
      <c r="I50" s="108"/>
      <c r="J50" s="108"/>
    </row>
    <row r="51" spans="1:24" ht="15" thickBot="1" x14ac:dyDescent="0.4">
      <c r="A51" s="1829" t="s">
        <v>499</v>
      </c>
      <c r="B51" s="1829"/>
      <c r="C51" s="1829"/>
      <c r="D51" s="1829"/>
      <c r="E51" s="1829"/>
      <c r="F51" s="108"/>
      <c r="G51" s="108"/>
      <c r="H51" s="108"/>
      <c r="I51" s="108"/>
      <c r="J51" s="108"/>
      <c r="K51" s="457"/>
      <c r="L51" s="457"/>
      <c r="M51" s="457"/>
      <c r="N51" s="457"/>
      <c r="O51" s="457"/>
      <c r="P51" s="457"/>
      <c r="Q51" s="457"/>
      <c r="R51" s="457"/>
      <c r="S51" s="457"/>
      <c r="T51" s="457"/>
      <c r="U51" s="457"/>
      <c r="V51" s="457"/>
      <c r="W51" s="457"/>
      <c r="X51" s="457"/>
    </row>
    <row r="52" spans="1:24" ht="15" thickTop="1" x14ac:dyDescent="0.35">
      <c r="A52" s="298" t="s">
        <v>772</v>
      </c>
      <c r="B52" s="108"/>
      <c r="C52" s="108"/>
      <c r="D52" s="108"/>
      <c r="E52" s="108"/>
      <c r="F52" s="308"/>
      <c r="G52" s="690"/>
      <c r="H52" s="108"/>
      <c r="I52" s="310"/>
      <c r="J52" s="310"/>
      <c r="K52" s="108"/>
      <c r="L52" s="108"/>
      <c r="M52" s="108"/>
      <c r="N52" s="108"/>
      <c r="O52" s="108"/>
      <c r="P52" s="457"/>
      <c r="Q52" s="457"/>
      <c r="R52" s="457"/>
      <c r="S52" s="457"/>
      <c r="T52" s="457"/>
      <c r="U52" s="457"/>
      <c r="V52" s="457"/>
      <c r="W52" s="457"/>
      <c r="X52" s="457"/>
    </row>
    <row r="53" spans="1:24" x14ac:dyDescent="0.35">
      <c r="A53" s="457"/>
      <c r="B53" s="108" t="s">
        <v>773</v>
      </c>
      <c r="C53" s="108"/>
      <c r="D53" s="108"/>
      <c r="E53" s="108"/>
      <c r="F53" s="308"/>
      <c r="G53" s="687"/>
      <c r="H53" s="108"/>
      <c r="I53" s="97"/>
      <c r="J53" s="97"/>
      <c r="K53" s="108"/>
      <c r="L53" s="108"/>
      <c r="M53" s="108"/>
      <c r="N53" s="108"/>
      <c r="O53" s="108"/>
      <c r="P53" s="457"/>
      <c r="Q53" s="457"/>
      <c r="R53" s="457"/>
      <c r="S53" s="457"/>
      <c r="T53" s="457"/>
      <c r="U53" s="457"/>
      <c r="V53" s="457"/>
      <c r="W53" s="457"/>
      <c r="X53" s="457"/>
    </row>
    <row r="54" spans="1:24" x14ac:dyDescent="0.35">
      <c r="A54" s="108" t="s">
        <v>504</v>
      </c>
      <c r="B54" s="108"/>
      <c r="C54" s="108"/>
      <c r="D54" s="108"/>
      <c r="E54" s="108"/>
      <c r="F54" s="308"/>
      <c r="G54" s="687"/>
      <c r="H54" s="108"/>
      <c r="I54" s="97"/>
      <c r="J54" s="97"/>
      <c r="K54" s="108"/>
      <c r="L54" s="108"/>
      <c r="M54" s="108"/>
      <c r="N54" s="108"/>
      <c r="O54" s="108"/>
      <c r="P54" s="457"/>
      <c r="Q54" s="457"/>
      <c r="R54" s="457"/>
      <c r="S54" s="457"/>
      <c r="T54" s="457"/>
      <c r="U54" s="457"/>
      <c r="V54" s="457"/>
      <c r="W54" s="457"/>
      <c r="X54" s="457"/>
    </row>
    <row r="55" spans="1:24" s="687" customFormat="1" x14ac:dyDescent="0.35">
      <c r="A55" s="1254" t="s">
        <v>774</v>
      </c>
      <c r="B55" s="233"/>
      <c r="C55" s="97"/>
      <c r="D55" s="97"/>
      <c r="E55" s="78"/>
      <c r="F55" s="78"/>
      <c r="H55" s="108"/>
      <c r="I55" s="97"/>
      <c r="J55" s="97"/>
      <c r="K55" s="81"/>
      <c r="L55" s="81"/>
      <c r="M55" s="81"/>
      <c r="N55" s="81"/>
    </row>
    <row r="56" spans="1:24" s="457" customFormat="1" x14ac:dyDescent="0.35">
      <c r="A56" s="108" t="s">
        <v>504</v>
      </c>
      <c r="B56" s="108"/>
      <c r="C56" s="108"/>
      <c r="D56" s="108"/>
      <c r="E56" s="108"/>
      <c r="F56" s="308"/>
      <c r="G56" s="687"/>
      <c r="H56" s="108"/>
      <c r="I56" s="97"/>
      <c r="J56" s="97"/>
      <c r="K56" s="108"/>
      <c r="L56" s="108"/>
      <c r="M56" s="108"/>
      <c r="N56" s="108"/>
      <c r="O56" s="108"/>
    </row>
    <row r="57" spans="1:24" x14ac:dyDescent="0.35">
      <c r="A57" s="108"/>
      <c r="B57" s="108"/>
      <c r="C57" s="108"/>
      <c r="D57" s="108"/>
      <c r="E57" s="108"/>
      <c r="F57" s="108"/>
      <c r="G57" s="457"/>
      <c r="H57" s="457"/>
      <c r="I57" s="457"/>
      <c r="J57" s="457"/>
      <c r="K57" s="108"/>
      <c r="L57" s="108"/>
      <c r="M57" s="108"/>
      <c r="N57" s="108"/>
      <c r="O57" s="108"/>
      <c r="P57" s="457"/>
      <c r="Q57" s="457"/>
      <c r="R57" s="457"/>
      <c r="S57" s="457"/>
      <c r="T57" s="457"/>
      <c r="U57" s="457"/>
      <c r="V57" s="457"/>
      <c r="W57" s="457"/>
      <c r="X57" s="457"/>
    </row>
    <row r="58" spans="1:24" x14ac:dyDescent="0.35">
      <c r="A58" s="108"/>
      <c r="B58" s="108"/>
      <c r="C58" s="108"/>
      <c r="D58" s="108"/>
      <c r="E58" s="108"/>
      <c r="F58" s="457"/>
      <c r="G58" s="457"/>
      <c r="H58" s="457"/>
      <c r="I58" s="457"/>
      <c r="J58" s="457"/>
      <c r="K58" s="108"/>
      <c r="L58" s="108"/>
      <c r="M58" s="108"/>
      <c r="N58" s="108"/>
      <c r="O58" s="108"/>
      <c r="P58" s="457"/>
      <c r="Q58" s="457"/>
      <c r="R58" s="457"/>
      <c r="S58" s="457"/>
      <c r="T58" s="457"/>
      <c r="U58" s="457"/>
      <c r="V58" s="457"/>
      <c r="W58" s="457"/>
      <c r="X58" s="457"/>
    </row>
    <row r="59" spans="1:24" x14ac:dyDescent="0.35">
      <c r="A59" s="457"/>
      <c r="B59" s="457"/>
      <c r="C59" s="457"/>
      <c r="D59" s="457"/>
      <c r="E59" s="457"/>
      <c r="F59" s="457"/>
      <c r="G59" s="457"/>
      <c r="H59" s="457"/>
      <c r="I59" s="457"/>
      <c r="J59" s="457"/>
      <c r="K59" s="457"/>
      <c r="L59" s="457"/>
      <c r="M59" s="457"/>
      <c r="N59" s="457"/>
      <c r="O59" s="457"/>
      <c r="P59" s="457"/>
      <c r="Q59" s="457"/>
      <c r="R59" s="457"/>
      <c r="S59" s="457"/>
      <c r="T59" s="457"/>
      <c r="U59" s="457"/>
      <c r="V59" s="457"/>
      <c r="W59" s="457"/>
      <c r="X59" s="457"/>
    </row>
    <row r="60" spans="1:24" x14ac:dyDescent="0.35">
      <c r="A60" s="457"/>
      <c r="B60" s="457"/>
      <c r="C60" s="457"/>
      <c r="D60" s="457"/>
      <c r="E60" s="457"/>
      <c r="F60" s="457"/>
      <c r="G60" s="457"/>
      <c r="H60" s="457"/>
      <c r="I60" s="457"/>
      <c r="J60" s="457"/>
      <c r="K60" s="457"/>
      <c r="L60" s="457"/>
      <c r="M60" s="457"/>
      <c r="N60" s="457"/>
      <c r="O60" s="457"/>
      <c r="P60" s="457"/>
      <c r="Q60" s="457"/>
      <c r="R60" s="457"/>
      <c r="S60" s="457"/>
      <c r="T60" s="457"/>
      <c r="U60" s="457"/>
      <c r="V60" s="457"/>
      <c r="W60" s="457"/>
      <c r="X60" s="457"/>
    </row>
    <row r="61" spans="1:24" x14ac:dyDescent="0.35">
      <c r="A61" s="457"/>
      <c r="B61" s="457"/>
      <c r="C61" s="457"/>
      <c r="D61" s="457"/>
      <c r="E61" s="457"/>
      <c r="F61" s="457"/>
      <c r="G61" s="457"/>
      <c r="H61" s="457"/>
      <c r="I61" s="457"/>
      <c r="J61" s="457"/>
      <c r="K61" s="457"/>
      <c r="L61" s="457"/>
      <c r="M61" s="457"/>
      <c r="N61" s="457"/>
      <c r="O61" s="457"/>
      <c r="P61" s="457"/>
      <c r="Q61" s="457"/>
      <c r="R61" s="457"/>
      <c r="S61" s="457"/>
      <c r="T61" s="457"/>
      <c r="U61" s="457"/>
      <c r="V61" s="457"/>
      <c r="W61" s="457"/>
      <c r="X61" s="457"/>
    </row>
    <row r="62" spans="1:24" x14ac:dyDescent="0.35">
      <c r="A62" s="457"/>
      <c r="B62" s="457"/>
      <c r="C62" s="457"/>
      <c r="D62" s="457"/>
      <c r="E62" s="457"/>
      <c r="F62" s="457"/>
      <c r="G62" s="457"/>
      <c r="H62" s="457"/>
      <c r="I62" s="457"/>
      <c r="J62" s="457"/>
      <c r="K62" s="457"/>
      <c r="L62" s="457"/>
      <c r="M62" s="457"/>
      <c r="N62" s="457"/>
      <c r="O62" s="457"/>
      <c r="P62" s="457"/>
      <c r="Q62" s="457"/>
      <c r="R62" s="457"/>
      <c r="S62" s="457"/>
      <c r="T62" s="457"/>
      <c r="U62" s="457"/>
      <c r="V62" s="457"/>
      <c r="W62" s="457"/>
      <c r="X62" s="457"/>
    </row>
    <row r="63" spans="1:24" x14ac:dyDescent="0.35">
      <c r="A63" s="457"/>
      <c r="B63" s="457"/>
      <c r="C63" s="457"/>
      <c r="D63" s="457"/>
      <c r="E63" s="457"/>
      <c r="F63" s="457"/>
      <c r="G63" s="457"/>
      <c r="H63" s="457"/>
      <c r="I63" s="457"/>
      <c r="J63" s="457"/>
      <c r="K63" s="457"/>
      <c r="L63" s="457"/>
      <c r="M63" s="457"/>
      <c r="N63" s="457"/>
      <c r="O63" s="457"/>
      <c r="P63" s="457"/>
      <c r="Q63" s="457"/>
      <c r="R63" s="457"/>
      <c r="S63" s="457"/>
      <c r="T63" s="457"/>
      <c r="U63" s="457"/>
      <c r="V63" s="457"/>
      <c r="W63" s="457"/>
      <c r="X63" s="457"/>
    </row>
    <row r="64" spans="1:24" x14ac:dyDescent="0.35">
      <c r="A64" s="457"/>
      <c r="B64" s="457"/>
      <c r="C64" s="457"/>
      <c r="D64" s="457"/>
      <c r="E64" s="457"/>
      <c r="F64" s="457"/>
      <c r="G64" s="457"/>
      <c r="H64" s="457"/>
      <c r="I64" s="457"/>
      <c r="J64" s="457"/>
      <c r="K64" s="457"/>
      <c r="L64" s="457"/>
      <c r="M64" s="457"/>
      <c r="N64" s="457"/>
      <c r="O64" s="457"/>
      <c r="P64" s="457"/>
      <c r="Q64" s="457"/>
      <c r="R64" s="457"/>
      <c r="S64" s="457"/>
      <c r="T64" s="457"/>
      <c r="U64" s="457"/>
      <c r="V64" s="457"/>
      <c r="W64" s="457"/>
      <c r="X64" s="457"/>
    </row>
    <row r="65" spans="1:24" x14ac:dyDescent="0.35">
      <c r="A65" s="457"/>
      <c r="B65" s="457"/>
      <c r="C65" s="457"/>
      <c r="D65" s="457"/>
      <c r="E65" s="457"/>
      <c r="F65" s="457"/>
      <c r="G65" s="457"/>
      <c r="H65" s="457"/>
      <c r="I65" s="457"/>
      <c r="J65" s="457"/>
      <c r="K65" s="457"/>
      <c r="L65" s="457"/>
      <c r="M65" s="457"/>
      <c r="N65" s="457"/>
      <c r="O65" s="457"/>
      <c r="P65" s="457"/>
      <c r="Q65" s="457"/>
      <c r="R65" s="457"/>
      <c r="S65" s="457"/>
      <c r="T65" s="457"/>
      <c r="U65" s="457"/>
      <c r="V65" s="457"/>
      <c r="W65" s="457"/>
      <c r="X65" s="457"/>
    </row>
    <row r="66" spans="1:24" x14ac:dyDescent="0.35">
      <c r="A66" s="457"/>
      <c r="B66" s="457"/>
      <c r="C66" s="457"/>
      <c r="D66" s="457"/>
      <c r="E66" s="457"/>
      <c r="F66" s="457"/>
      <c r="G66" s="457"/>
      <c r="H66" s="457"/>
      <c r="I66" s="457"/>
      <c r="J66" s="457"/>
      <c r="K66" s="457"/>
      <c r="L66" s="457"/>
      <c r="M66" s="457"/>
      <c r="N66" s="457"/>
      <c r="O66" s="457"/>
      <c r="P66" s="457"/>
      <c r="Q66" s="457"/>
      <c r="R66" s="457"/>
      <c r="S66" s="457"/>
      <c r="T66" s="457"/>
      <c r="U66" s="457"/>
      <c r="V66" s="457"/>
      <c r="W66" s="457"/>
      <c r="X66" s="457"/>
    </row>
    <row r="72" spans="1:24" ht="16" thickBot="1" x14ac:dyDescent="0.4">
      <c r="A72" s="1678"/>
      <c r="B72" s="1678"/>
      <c r="C72" s="1678"/>
      <c r="D72" s="1678"/>
      <c r="E72" s="1678"/>
      <c r="F72" s="1678"/>
      <c r="G72" s="1678"/>
      <c r="H72" s="1678"/>
      <c r="I72" s="1678"/>
      <c r="J72" s="1678"/>
      <c r="K72" s="1679" t="s">
        <v>72</v>
      </c>
      <c r="L72" s="1680"/>
      <c r="M72" s="1680"/>
      <c r="N72" s="1680"/>
      <c r="O72" s="1680"/>
      <c r="P72" s="1681"/>
      <c r="Q72" s="457"/>
      <c r="R72" s="457"/>
      <c r="S72" s="457"/>
      <c r="T72" s="457"/>
      <c r="U72" s="457"/>
      <c r="V72" s="457"/>
      <c r="W72" s="457"/>
      <c r="X72" s="457"/>
    </row>
    <row r="73" spans="1:24" ht="15" thickTop="1" x14ac:dyDescent="0.35">
      <c r="A73" s="87"/>
      <c r="B73" s="87"/>
      <c r="C73" s="87"/>
      <c r="D73" s="87"/>
      <c r="E73" s="87"/>
      <c r="F73" s="87"/>
      <c r="G73" s="87"/>
      <c r="H73" s="87"/>
      <c r="I73" s="87"/>
      <c r="J73" s="87"/>
      <c r="K73" s="87"/>
      <c r="L73" s="457"/>
      <c r="M73" s="457"/>
      <c r="N73" s="457"/>
      <c r="O73" s="457"/>
      <c r="P73" s="457"/>
      <c r="Q73" s="457"/>
      <c r="R73" s="457"/>
      <c r="S73" s="457"/>
      <c r="T73" s="457"/>
      <c r="U73" s="457"/>
      <c r="V73" s="457"/>
      <c r="W73" s="457"/>
      <c r="X73" s="457"/>
    </row>
  </sheetData>
  <mergeCells count="8">
    <mergeCell ref="A1:K1"/>
    <mergeCell ref="A51:E51"/>
    <mergeCell ref="F7:J7"/>
    <mergeCell ref="F13:J13"/>
    <mergeCell ref="F25:J25"/>
    <mergeCell ref="B44:F44"/>
    <mergeCell ref="B7:D7"/>
    <mergeCell ref="B25:D25"/>
  </mergeCells>
  <hyperlinks>
    <hyperlink ref="B4" location="'Glossary-FAQs'!A1" display="Glossary/FAQ" xr:uid="{93930F7C-8CA5-4D7E-B7CD-7839411B6F9D}"/>
    <hyperlink ref="C3" location="'Welcome'!C15" display="  = Data entry needed. See color legend on Welcome tab for more info.  " xr:uid="{738F8860-113B-4306-BA33-09DCA384A652}"/>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rgb="FFFFC000"/>
  </sheetPr>
  <dimension ref="A1:P52"/>
  <sheetViews>
    <sheetView zoomScale="85" zoomScaleNormal="85" workbookViewId="0">
      <selection activeCell="A2" sqref="A2"/>
    </sheetView>
  </sheetViews>
  <sheetFormatPr defaultColWidth="11.453125" defaultRowHeight="14.5" x14ac:dyDescent="0.35"/>
  <cols>
    <col min="1" max="1" width="5.1796875" style="687" customWidth="1"/>
    <col min="2" max="2" width="18.26953125" customWidth="1"/>
    <col min="3" max="3" width="64.1796875" customWidth="1"/>
    <col min="4" max="4" width="11.81640625" customWidth="1"/>
    <col min="5" max="5" width="14.81640625" customWidth="1"/>
    <col min="6" max="6" width="59.26953125" customWidth="1"/>
    <col min="7" max="7" width="16.26953125" customWidth="1"/>
    <col min="8" max="8" width="18.453125" customWidth="1"/>
    <col min="9" max="9" width="21" customWidth="1"/>
    <col min="10" max="10" width="29.7265625" customWidth="1"/>
    <col min="11" max="11" width="7.81640625" customWidth="1"/>
  </cols>
  <sheetData>
    <row r="1" spans="1:7" s="687" customFormat="1" ht="21.5" thickBot="1" x14ac:dyDescent="0.55000000000000004">
      <c r="A1" s="1925" t="s">
        <v>775</v>
      </c>
      <c r="B1" s="1926"/>
      <c r="C1" s="1926"/>
      <c r="D1" s="1926"/>
      <c r="E1" s="1926"/>
      <c r="F1" s="1927"/>
    </row>
    <row r="2" spans="1:7" s="687" customFormat="1" x14ac:dyDescent="0.35">
      <c r="B2" s="1266"/>
      <c r="C2" s="1266"/>
      <c r="D2" s="1266"/>
      <c r="E2" s="1266"/>
      <c r="F2" s="1266"/>
    </row>
    <row r="3" spans="1:7" s="687" customFormat="1" x14ac:dyDescent="0.35">
      <c r="A3" s="5"/>
      <c r="B3" s="1558" t="s">
        <v>265</v>
      </c>
      <c r="C3" s="1617" t="s">
        <v>432</v>
      </c>
      <c r="D3" s="1550" t="s">
        <v>264</v>
      </c>
      <c r="F3" s="513"/>
    </row>
    <row r="4" spans="1:7" s="687" customFormat="1" ht="14.5" customHeight="1" x14ac:dyDescent="0.35">
      <c r="A4" s="5"/>
      <c r="B4" s="1667" t="s">
        <v>268</v>
      </c>
      <c r="C4" s="44"/>
      <c r="D4" s="1849" t="s">
        <v>776</v>
      </c>
      <c r="E4" s="1849"/>
      <c r="F4" s="1849"/>
      <c r="G4" s="1664"/>
    </row>
    <row r="5" spans="1:7" s="687" customFormat="1" ht="30" customHeight="1" x14ac:dyDescent="0.35">
      <c r="A5" s="5"/>
      <c r="B5" s="1281"/>
      <c r="C5" s="44"/>
      <c r="D5" s="1849"/>
      <c r="E5" s="1849"/>
      <c r="F5" s="1849"/>
      <c r="G5" s="1664"/>
    </row>
    <row r="6" spans="1:7" s="687" customFormat="1" ht="15" thickBot="1" x14ac:dyDescent="0.4"/>
    <row r="7" spans="1:7" s="687" customFormat="1" ht="15" thickBot="1" x14ac:dyDescent="0.4">
      <c r="B7" s="1841" t="str">
        <f>(brew1_abb&amp;" Malt - Production")</f>
        <v>MAIN Malt - Production</v>
      </c>
      <c r="C7" s="1843"/>
      <c r="E7" s="1841" t="str">
        <f>(brew2_abb&amp;" Malt - Production")</f>
        <v>2ND Malt - Production</v>
      </c>
      <c r="F7" s="1843"/>
    </row>
    <row r="8" spans="1:7" s="687" customFormat="1" x14ac:dyDescent="0.35">
      <c r="B8" s="1149">
        <f>'Brewery-Control Data'!$B$8</f>
        <v>120000</v>
      </c>
      <c r="C8" s="668" t="s">
        <v>777</v>
      </c>
      <c r="E8" s="1149">
        <f>'Brewery-Control Data'!$E$8</f>
        <v>70000</v>
      </c>
      <c r="F8" s="668" t="s">
        <v>777</v>
      </c>
    </row>
    <row r="9" spans="1:7" s="687" customFormat="1" x14ac:dyDescent="0.35">
      <c r="B9" s="510">
        <f>'Brewery-Control Data'!J21</f>
        <v>55.111111111111114</v>
      </c>
      <c r="C9" s="669" t="s">
        <v>778</v>
      </c>
      <c r="E9" s="510">
        <f>'Brewery-Control Data'!J21</f>
        <v>55.111111111111114</v>
      </c>
      <c r="F9" s="669" t="s">
        <v>778</v>
      </c>
    </row>
    <row r="10" spans="1:7" s="687" customFormat="1" x14ac:dyDescent="0.35">
      <c r="B10" s="511">
        <f>B8*B9</f>
        <v>6613333.333333334</v>
      </c>
      <c r="C10" s="669" t="s">
        <v>779</v>
      </c>
      <c r="E10" s="511">
        <f>E8*E9</f>
        <v>3857777.777777778</v>
      </c>
      <c r="F10" s="669" t="s">
        <v>779</v>
      </c>
    </row>
    <row r="11" spans="1:7" s="687" customFormat="1" x14ac:dyDescent="0.35">
      <c r="B11" s="1590">
        <v>6</v>
      </c>
      <c r="C11" s="20" t="s">
        <v>780</v>
      </c>
      <c r="E11" s="1590">
        <v>6</v>
      </c>
      <c r="F11" s="20" t="s">
        <v>780</v>
      </c>
    </row>
    <row r="12" spans="1:7" s="687" customFormat="1" x14ac:dyDescent="0.35">
      <c r="B12" s="511">
        <f>B10*B11</f>
        <v>39680000</v>
      </c>
      <c r="C12" s="670" t="s">
        <v>781</v>
      </c>
      <c r="E12" s="511">
        <f>E10*E11</f>
        <v>23146666.666666668</v>
      </c>
      <c r="F12" s="670" t="s">
        <v>781</v>
      </c>
    </row>
    <row r="13" spans="1:7" s="687" customFormat="1" ht="15" thickBot="1" x14ac:dyDescent="0.4">
      <c r="B13" s="1622">
        <v>2.3470000000000001E-2</v>
      </c>
      <c r="C13" s="670" t="s">
        <v>782</v>
      </c>
      <c r="E13" s="1622">
        <v>2.3470000000000001E-2</v>
      </c>
      <c r="F13" s="670" t="s">
        <v>782</v>
      </c>
    </row>
    <row r="14" spans="1:7" s="687" customFormat="1" ht="15" thickBot="1" x14ac:dyDescent="0.4">
      <c r="B14" s="509">
        <f>B12*B13</f>
        <v>931289.60000000009</v>
      </c>
      <c r="C14" s="671" t="s">
        <v>783</v>
      </c>
      <c r="E14" s="509">
        <f>E12*E13</f>
        <v>543252.26666666672</v>
      </c>
      <c r="F14" s="671" t="s">
        <v>783</v>
      </c>
    </row>
    <row r="15" spans="1:7" s="687" customFormat="1" x14ac:dyDescent="0.35"/>
    <row r="16" spans="1:7" s="687" customFormat="1" ht="15" thickBot="1" x14ac:dyDescent="0.4"/>
    <row r="17" spans="1:6" s="687" customFormat="1" ht="15" thickBot="1" x14ac:dyDescent="0.4">
      <c r="B17" s="1841" t="str">
        <f>(brew1_abb&amp;" Malt - Transportation")</f>
        <v>MAIN Malt - Transportation</v>
      </c>
      <c r="C17" s="1843"/>
      <c r="E17" s="1841" t="str">
        <f>(brew2_abb&amp;" Malt - Transportation")</f>
        <v>2ND Malt - Transportation</v>
      </c>
      <c r="F17" s="1843"/>
    </row>
    <row r="18" spans="1:6" s="687" customFormat="1" x14ac:dyDescent="0.35">
      <c r="B18" s="1282">
        <v>950</v>
      </c>
      <c r="C18" s="20" t="s">
        <v>784</v>
      </c>
      <c r="E18" s="1282">
        <v>400</v>
      </c>
      <c r="F18" s="20" t="s">
        <v>784</v>
      </c>
    </row>
    <row r="19" spans="1:6" s="687" customFormat="1" x14ac:dyDescent="0.35">
      <c r="B19" s="1283">
        <v>800</v>
      </c>
      <c r="C19" s="20" t="s">
        <v>785</v>
      </c>
      <c r="E19" s="1283">
        <v>1200</v>
      </c>
      <c r="F19" s="20" t="s">
        <v>785</v>
      </c>
    </row>
    <row r="20" spans="1:6" s="687" customFormat="1" ht="15" thickBot="1" x14ac:dyDescent="0.4">
      <c r="B20" s="1529">
        <f>'Brewery-Control Data'!$C$41</f>
        <v>0.20200000000000001</v>
      </c>
      <c r="C20" s="1267" t="s">
        <v>786</v>
      </c>
      <c r="E20" s="1529">
        <f>'Brewery-Control Data'!$C$41</f>
        <v>0.20200000000000001</v>
      </c>
      <c r="F20" s="1267" t="s">
        <v>786</v>
      </c>
    </row>
    <row r="21" spans="1:6" s="687" customFormat="1" ht="15" thickBot="1" x14ac:dyDescent="0.4">
      <c r="B21" s="509">
        <f>B20*B19*B18</f>
        <v>153520.00000000003</v>
      </c>
      <c r="C21" s="671" t="s">
        <v>787</v>
      </c>
      <c r="E21" s="509">
        <f>E20*E19*E18</f>
        <v>96960</v>
      </c>
      <c r="F21" s="671" t="s">
        <v>787</v>
      </c>
    </row>
    <row r="22" spans="1:6" s="687" customFormat="1" x14ac:dyDescent="0.35"/>
    <row r="23" spans="1:6" s="687" customFormat="1" ht="15" thickBot="1" x14ac:dyDescent="0.4"/>
    <row r="24" spans="1:6" s="687" customFormat="1" ht="15" thickBot="1" x14ac:dyDescent="0.4">
      <c r="B24" s="1841" t="str">
        <f>(brew1_abb&amp;" Malt - Total")</f>
        <v>MAIN Malt - Total</v>
      </c>
      <c r="C24" s="1843"/>
      <c r="E24" s="1841" t="str">
        <f>(brew2_abb&amp;" Malt - Total")</f>
        <v>2ND Malt - Total</v>
      </c>
      <c r="F24" s="1843"/>
    </row>
    <row r="25" spans="1:6" s="687" customFormat="1" x14ac:dyDescent="0.35">
      <c r="B25" s="1284">
        <f>B14</f>
        <v>931289.60000000009</v>
      </c>
      <c r="C25" s="20" t="s">
        <v>783</v>
      </c>
      <c r="E25" s="1284">
        <f>E14</f>
        <v>543252.26666666672</v>
      </c>
      <c r="F25" s="20" t="s">
        <v>783</v>
      </c>
    </row>
    <row r="26" spans="1:6" s="687" customFormat="1" ht="15" thickBot="1" x14ac:dyDescent="0.4">
      <c r="B26" s="1285">
        <f>B21</f>
        <v>153520.00000000003</v>
      </c>
      <c r="C26" s="20" t="s">
        <v>787</v>
      </c>
      <c r="E26" s="1285">
        <f>E21</f>
        <v>96960</v>
      </c>
      <c r="F26" s="20" t="s">
        <v>787</v>
      </c>
    </row>
    <row r="27" spans="1:6" s="687" customFormat="1" ht="15" thickBot="1" x14ac:dyDescent="0.4">
      <c r="B27" s="509">
        <f>SUM(B25:B26)</f>
        <v>1084809.6000000001</v>
      </c>
      <c r="C27" s="671" t="s">
        <v>788</v>
      </c>
      <c r="E27" s="509">
        <f>SUM(E25:E26)</f>
        <v>640212.26666666672</v>
      </c>
      <c r="F27" s="671" t="s">
        <v>788</v>
      </c>
    </row>
    <row r="28" spans="1:6" s="687" customFormat="1" ht="15" thickBot="1" x14ac:dyDescent="0.4">
      <c r="B28" s="512">
        <f>'Brewery-Control Data'!$B$10</f>
        <v>123215.153565</v>
      </c>
      <c r="C28" s="672" t="s">
        <v>276</v>
      </c>
      <c r="E28" s="512">
        <f>'Brewery-Control Data'!$E$10</f>
        <v>88010.823974999992</v>
      </c>
      <c r="F28" s="672" t="s">
        <v>276</v>
      </c>
    </row>
    <row r="29" spans="1:6" s="687" customFormat="1" ht="15" thickBot="1" x14ac:dyDescent="0.4">
      <c r="B29" s="506">
        <f>B14/B28</f>
        <v>7.5582391698981617</v>
      </c>
      <c r="C29" s="685" t="s">
        <v>789</v>
      </c>
      <c r="E29" s="506">
        <f>E14/E28</f>
        <v>6.1725619887501662</v>
      </c>
      <c r="F29" s="685" t="s">
        <v>789</v>
      </c>
    </row>
    <row r="30" spans="1:6" s="687" customFormat="1" x14ac:dyDescent="0.35"/>
    <row r="31" spans="1:6" s="687" customFormat="1" ht="15" thickBot="1" x14ac:dyDescent="0.4"/>
    <row r="32" spans="1:6" s="687" customFormat="1" ht="16" thickBot="1" x14ac:dyDescent="0.4">
      <c r="A32" s="842" t="s">
        <v>492</v>
      </c>
      <c r="B32" s="918"/>
      <c r="C32" s="198"/>
    </row>
    <row r="33" spans="1:11" s="687" customFormat="1" ht="16" thickBot="1" x14ac:dyDescent="0.4">
      <c r="A33" s="900"/>
      <c r="B33" s="921"/>
      <c r="C33" s="198"/>
    </row>
    <row r="34" spans="1:11" s="687" customFormat="1" ht="15" thickBot="1" x14ac:dyDescent="0.4">
      <c r="B34" s="1841" t="s">
        <v>790</v>
      </c>
      <c r="C34" s="1843"/>
    </row>
    <row r="35" spans="1:11" s="687" customFormat="1" ht="15" thickBot="1" x14ac:dyDescent="0.4">
      <c r="B35" s="536">
        <f>B27+E27</f>
        <v>1725021.8666666667</v>
      </c>
      <c r="C35" s="537" t="s">
        <v>791</v>
      </c>
    </row>
    <row r="36" spans="1:11" s="687" customFormat="1" ht="15" thickBot="1" x14ac:dyDescent="0.4">
      <c r="B36" s="1286">
        <f>'Brewery-Control Data'!$H$10</f>
        <v>211225.97753999999</v>
      </c>
      <c r="C36" s="920" t="s">
        <v>276</v>
      </c>
    </row>
    <row r="37" spans="1:11" s="687" customFormat="1" ht="15" thickBot="1" x14ac:dyDescent="0.4">
      <c r="B37" s="506">
        <f>B35/B36</f>
        <v>8.1667126683790503</v>
      </c>
      <c r="C37" s="685" t="s">
        <v>792</v>
      </c>
    </row>
    <row r="38" spans="1:11" s="687" customFormat="1" x14ac:dyDescent="0.35"/>
    <row r="39" spans="1:11" s="687" customFormat="1" x14ac:dyDescent="0.35"/>
    <row r="40" spans="1:11" s="687" customFormat="1" x14ac:dyDescent="0.35"/>
    <row r="42" spans="1:11" s="456" customFormat="1" ht="15" thickBot="1" x14ac:dyDescent="0.4">
      <c r="A42" s="1702" t="s">
        <v>499</v>
      </c>
      <c r="B42" s="1702"/>
      <c r="C42" s="1702"/>
      <c r="D42" s="1702"/>
      <c r="E42" s="687"/>
      <c r="F42" s="687"/>
      <c r="G42" s="687"/>
      <c r="H42" s="687"/>
      <c r="I42" s="171"/>
      <c r="J42" s="174"/>
      <c r="K42" s="171"/>
    </row>
    <row r="43" spans="1:11" ht="15" thickTop="1" x14ac:dyDescent="0.35">
      <c r="A43" s="688" t="s">
        <v>793</v>
      </c>
      <c r="B43" s="687"/>
      <c r="C43" s="687"/>
      <c r="D43" s="687"/>
      <c r="E43" s="687"/>
      <c r="F43" s="687"/>
      <c r="G43" s="687"/>
      <c r="H43" s="687"/>
      <c r="I43" s="687"/>
      <c r="J43" s="687"/>
      <c r="K43" s="687"/>
    </row>
    <row r="44" spans="1:11" x14ac:dyDescent="0.35">
      <c r="B44" s="687" t="s">
        <v>794</v>
      </c>
      <c r="C44" s="687"/>
      <c r="D44" s="687"/>
      <c r="E44" s="687"/>
      <c r="F44" s="687"/>
      <c r="G44" s="687"/>
      <c r="H44" s="687"/>
      <c r="I44" s="687"/>
      <c r="J44" s="687"/>
      <c r="K44" s="687"/>
    </row>
    <row r="45" spans="1:11" s="647" customFormat="1" x14ac:dyDescent="0.35">
      <c r="A45" s="687"/>
      <c r="B45" s="687" t="s">
        <v>795</v>
      </c>
      <c r="C45" s="687"/>
      <c r="D45" s="687"/>
      <c r="E45" s="687"/>
      <c r="F45" s="687"/>
      <c r="G45" s="687"/>
      <c r="H45" s="687"/>
      <c r="I45" s="687"/>
      <c r="J45" s="687"/>
      <c r="K45" s="687"/>
    </row>
    <row r="46" spans="1:11" x14ac:dyDescent="0.35">
      <c r="B46" s="687"/>
      <c r="C46" s="696"/>
      <c r="D46" s="687"/>
      <c r="E46" s="687"/>
      <c r="F46" s="687"/>
      <c r="G46" s="687"/>
      <c r="H46" s="687"/>
      <c r="I46" s="687"/>
      <c r="J46" s="687"/>
      <c r="K46" s="687"/>
    </row>
    <row r="47" spans="1:11" x14ac:dyDescent="0.35">
      <c r="A47" s="687" t="s">
        <v>796</v>
      </c>
      <c r="B47" s="687"/>
      <c r="C47" s="687"/>
      <c r="D47" s="687"/>
      <c r="E47" s="687"/>
      <c r="F47" s="687"/>
      <c r="G47" s="687"/>
      <c r="H47" s="687"/>
      <c r="I47" s="687"/>
      <c r="J47" s="687"/>
      <c r="K47" s="687"/>
    </row>
    <row r="51" spans="1:16" ht="16" thickBot="1" x14ac:dyDescent="0.4">
      <c r="A51" s="1678"/>
      <c r="B51" s="1678"/>
      <c r="C51" s="1678"/>
      <c r="D51" s="1678"/>
      <c r="E51" s="1678"/>
      <c r="F51" s="1679" t="s">
        <v>72</v>
      </c>
      <c r="G51" s="1680"/>
      <c r="H51" s="1680"/>
      <c r="I51" s="1680"/>
      <c r="J51" s="1680"/>
      <c r="K51" s="1680"/>
      <c r="L51" s="1680"/>
      <c r="M51" s="1680"/>
      <c r="N51" s="1680"/>
      <c r="O51" s="1680"/>
      <c r="P51" s="1681"/>
    </row>
    <row r="52" spans="1:16" ht="15" thickTop="1" x14ac:dyDescent="0.35">
      <c r="A52" s="87"/>
      <c r="B52" s="87"/>
      <c r="C52" s="87"/>
      <c r="D52" s="87"/>
      <c r="E52" s="87"/>
      <c r="F52" s="87"/>
      <c r="G52" s="457"/>
      <c r="H52" s="457"/>
      <c r="I52" s="457"/>
      <c r="J52" s="457"/>
      <c r="K52" s="457"/>
      <c r="L52" s="457"/>
      <c r="M52" s="457"/>
      <c r="N52" s="457"/>
      <c r="O52" s="457"/>
      <c r="P52" s="457"/>
    </row>
  </sheetData>
  <mergeCells count="9">
    <mergeCell ref="B24:C24"/>
    <mergeCell ref="E24:F24"/>
    <mergeCell ref="B34:C34"/>
    <mergeCell ref="A1:F1"/>
    <mergeCell ref="B7:C7"/>
    <mergeCell ref="E7:F7"/>
    <mergeCell ref="B17:C17"/>
    <mergeCell ref="E17:F17"/>
    <mergeCell ref="D4:F5"/>
  </mergeCells>
  <phoneticPr fontId="44" type="noConversion"/>
  <hyperlinks>
    <hyperlink ref="B4" location="'Glossary-FAQs'!A1" display="Glossary/FAQ" xr:uid="{1DB235C9-5183-4EBC-B4AE-EE040F2BC361}"/>
    <hyperlink ref="C3" location="'Welcome'!C15" display="  = Data entry needed. See color legend on Welcome tab for more info.  " xr:uid="{B3605788-CB83-405A-AEE4-09473EB05A79}"/>
  </hyperlinks>
  <pageMargins left="0.75" right="0.7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FFC000"/>
  </sheetPr>
  <dimension ref="A1:AC56"/>
  <sheetViews>
    <sheetView zoomScale="84" zoomScaleNormal="90" workbookViewId="0">
      <selection activeCell="A2" sqref="A2"/>
    </sheetView>
  </sheetViews>
  <sheetFormatPr defaultColWidth="11.453125" defaultRowHeight="14.5" x14ac:dyDescent="0.35"/>
  <cols>
    <col min="1" max="1" width="5" style="687" customWidth="1"/>
    <col min="2" max="2" width="19.1796875" customWidth="1"/>
    <col min="3" max="3" width="59.453125" customWidth="1"/>
    <col min="4" max="4" width="12.26953125" customWidth="1"/>
    <col min="5" max="5" width="19.1796875" customWidth="1"/>
    <col min="6" max="6" width="59.26953125" style="42" customWidth="1"/>
    <col min="7" max="7" width="11.26953125" style="42" customWidth="1"/>
    <col min="8" max="8" width="13.26953125" style="42" bestFit="1" customWidth="1"/>
  </cols>
  <sheetData>
    <row r="1" spans="1:8" s="687" customFormat="1" ht="21.5" thickBot="1" x14ac:dyDescent="0.55000000000000004">
      <c r="A1" s="1925" t="s">
        <v>797</v>
      </c>
      <c r="B1" s="1926"/>
      <c r="C1" s="1926"/>
      <c r="D1" s="1926"/>
      <c r="E1" s="1926"/>
      <c r="F1" s="1927"/>
      <c r="G1" s="42"/>
      <c r="H1" s="42"/>
    </row>
    <row r="2" spans="1:8" s="687" customFormat="1" x14ac:dyDescent="0.35">
      <c r="F2" s="42"/>
      <c r="G2" s="42"/>
      <c r="H2" s="42"/>
    </row>
    <row r="3" spans="1:8" s="687" customFormat="1" x14ac:dyDescent="0.35">
      <c r="A3" s="5"/>
      <c r="B3" s="1558" t="s">
        <v>265</v>
      </c>
      <c r="C3" s="1617" t="s">
        <v>266</v>
      </c>
      <c r="D3" s="513"/>
      <c r="E3" s="1550" t="s">
        <v>264</v>
      </c>
      <c r="F3" s="42"/>
      <c r="G3" s="42"/>
      <c r="H3" s="42"/>
    </row>
    <row r="4" spans="1:8" s="687" customFormat="1" ht="14.5" customHeight="1" x14ac:dyDescent="0.35">
      <c r="A4" s="5"/>
      <c r="B4" s="1667" t="s">
        <v>268</v>
      </c>
      <c r="C4" s="44"/>
      <c r="D4" s="44"/>
      <c r="E4" s="1928" t="s">
        <v>798</v>
      </c>
      <c r="F4" s="1928"/>
      <c r="G4" s="1665"/>
      <c r="H4" s="42"/>
    </row>
    <row r="5" spans="1:8" s="687" customFormat="1" x14ac:dyDescent="0.35">
      <c r="A5" s="5"/>
      <c r="B5" s="1547"/>
      <c r="C5" s="44"/>
      <c r="D5" s="44"/>
      <c r="E5" s="1928"/>
      <c r="F5" s="1928"/>
      <c r="G5" s="1665"/>
      <c r="H5" s="42"/>
    </row>
    <row r="6" spans="1:8" s="687" customFormat="1" ht="15" thickBot="1" x14ac:dyDescent="0.4">
      <c r="B6" s="533"/>
      <c r="C6" s="533"/>
      <c r="D6" s="533"/>
      <c r="E6" s="533"/>
      <c r="F6" s="42"/>
      <c r="G6" s="42"/>
      <c r="H6" s="42"/>
    </row>
    <row r="7" spans="1:8" s="687" customFormat="1" ht="15" thickBot="1" x14ac:dyDescent="0.4">
      <c r="A7" s="49"/>
      <c r="B7" s="1841" t="str">
        <f>(brew1_abb&amp;" Barley - Agriculture")</f>
        <v>MAIN Barley - Agriculture</v>
      </c>
      <c r="C7" s="1843"/>
      <c r="D7" s="20"/>
      <c r="E7" s="1841" t="str">
        <f>(brew2_abb&amp;" Barley - Agriculture")</f>
        <v>2ND Barley - Agriculture</v>
      </c>
      <c r="F7" s="1843"/>
      <c r="G7" s="42"/>
      <c r="H7" s="42"/>
    </row>
    <row r="8" spans="1:8" s="687" customFormat="1" x14ac:dyDescent="0.35">
      <c r="A8" s="49"/>
      <c r="B8" s="1529">
        <v>1.29</v>
      </c>
      <c r="C8" s="674" t="s">
        <v>799</v>
      </c>
      <c r="D8" s="20"/>
      <c r="E8" s="1529">
        <v>1.29</v>
      </c>
      <c r="F8" s="674" t="s">
        <v>799</v>
      </c>
      <c r="G8" s="42"/>
      <c r="H8" s="42"/>
    </row>
    <row r="9" spans="1:8" s="687" customFormat="1" x14ac:dyDescent="0.35">
      <c r="A9" s="49"/>
      <c r="B9" s="1529">
        <v>6.77</v>
      </c>
      <c r="C9" s="674" t="s">
        <v>800</v>
      </c>
      <c r="D9" s="20"/>
      <c r="E9" s="1529">
        <v>6.77</v>
      </c>
      <c r="F9" s="674" t="s">
        <v>800</v>
      </c>
      <c r="G9" s="42"/>
      <c r="H9" s="42"/>
    </row>
    <row r="10" spans="1:8" s="687" customFormat="1" x14ac:dyDescent="0.35">
      <c r="A10" s="49"/>
      <c r="B10" s="1529">
        <v>30.17</v>
      </c>
      <c r="C10" s="674" t="s">
        <v>801</v>
      </c>
      <c r="D10" s="20"/>
      <c r="E10" s="1529">
        <v>30.17</v>
      </c>
      <c r="F10" s="674" t="s">
        <v>801</v>
      </c>
      <c r="G10" s="42"/>
      <c r="H10" s="42"/>
    </row>
    <row r="11" spans="1:8" s="687" customFormat="1" x14ac:dyDescent="0.35">
      <c r="A11" s="49"/>
      <c r="B11" s="1529">
        <v>18.41</v>
      </c>
      <c r="C11" s="674" t="s">
        <v>802</v>
      </c>
      <c r="D11" s="20"/>
      <c r="E11" s="1529">
        <v>18.41</v>
      </c>
      <c r="F11" s="674" t="s">
        <v>802</v>
      </c>
      <c r="G11" s="42"/>
      <c r="H11" s="42"/>
    </row>
    <row r="12" spans="1:8" s="687" customFormat="1" x14ac:dyDescent="0.35">
      <c r="A12" s="49"/>
      <c r="B12" s="1529">
        <v>17.63</v>
      </c>
      <c r="C12" s="674" t="s">
        <v>803</v>
      </c>
      <c r="D12" s="20"/>
      <c r="E12" s="1529">
        <v>17.63</v>
      </c>
      <c r="F12" s="674" t="s">
        <v>803</v>
      </c>
      <c r="G12" s="42"/>
      <c r="H12" s="42"/>
    </row>
    <row r="13" spans="1:8" s="687" customFormat="1" x14ac:dyDescent="0.35">
      <c r="A13" s="49"/>
      <c r="B13" s="1529">
        <f>SUM(B8:B12)</f>
        <v>74.27</v>
      </c>
      <c r="C13" s="674" t="s">
        <v>804</v>
      </c>
      <c r="D13" s="20"/>
      <c r="E13" s="1529">
        <f>SUM(E8:E12)</f>
        <v>74.27</v>
      </c>
      <c r="F13" s="674" t="s">
        <v>804</v>
      </c>
      <c r="G13" s="42"/>
      <c r="H13" s="42"/>
    </row>
    <row r="14" spans="1:8" s="687" customFormat="1" x14ac:dyDescent="0.35">
      <c r="A14" s="49"/>
      <c r="B14" s="673">
        <v>1000</v>
      </c>
      <c r="C14" s="674" t="s">
        <v>805</v>
      </c>
      <c r="D14" s="20"/>
      <c r="E14" s="673">
        <v>1000</v>
      </c>
      <c r="F14" s="674" t="s">
        <v>805</v>
      </c>
      <c r="G14" s="42"/>
      <c r="H14" s="42"/>
    </row>
    <row r="15" spans="1:8" s="687" customFormat="1" x14ac:dyDescent="0.35">
      <c r="A15" s="49"/>
      <c r="B15" s="922">
        <f>B13/B14</f>
        <v>7.4270000000000003E-2</v>
      </c>
      <c r="C15" s="674" t="s">
        <v>806</v>
      </c>
      <c r="D15" s="20"/>
      <c r="E15" s="922">
        <f>E13/E14</f>
        <v>7.4270000000000003E-2</v>
      </c>
      <c r="F15" s="674" t="s">
        <v>806</v>
      </c>
      <c r="G15" s="42"/>
      <c r="H15" s="42"/>
    </row>
    <row r="16" spans="1:8" s="687" customFormat="1" x14ac:dyDescent="0.35">
      <c r="A16" s="49"/>
      <c r="B16" s="923">
        <f>'Brewery-Control Data'!$B$8</f>
        <v>120000</v>
      </c>
      <c r="C16" s="675" t="s">
        <v>777</v>
      </c>
      <c r="D16" s="20"/>
      <c r="E16" s="923">
        <f>'Brewery-Control Data'!$E$8</f>
        <v>70000</v>
      </c>
      <c r="F16" s="675" t="s">
        <v>777</v>
      </c>
      <c r="G16" s="42"/>
      <c r="H16" s="42"/>
    </row>
    <row r="17" spans="1:8" s="687" customFormat="1" x14ac:dyDescent="0.35">
      <c r="A17" s="49"/>
      <c r="B17" s="510">
        <f>'Brewery-Control Data'!J21</f>
        <v>55.111111111111114</v>
      </c>
      <c r="C17" s="669" t="s">
        <v>778</v>
      </c>
      <c r="D17" s="20"/>
      <c r="E17" s="510">
        <f>'Brewery-Control Data'!J21</f>
        <v>55.111111111111114</v>
      </c>
      <c r="F17" s="669" t="s">
        <v>778</v>
      </c>
      <c r="G17" s="42"/>
      <c r="H17" s="42"/>
    </row>
    <row r="18" spans="1:8" s="687" customFormat="1" x14ac:dyDescent="0.35">
      <c r="A18" s="49"/>
      <c r="B18" s="903">
        <f>B16*B17</f>
        <v>6613333.333333334</v>
      </c>
      <c r="C18" s="669" t="s">
        <v>779</v>
      </c>
      <c r="D18" s="20"/>
      <c r="E18" s="903">
        <f>E16*E17</f>
        <v>3857777.777777778</v>
      </c>
      <c r="F18" s="669" t="s">
        <v>779</v>
      </c>
      <c r="G18" s="42"/>
      <c r="H18" s="42"/>
    </row>
    <row r="19" spans="1:8" s="687" customFormat="1" x14ac:dyDescent="0.35">
      <c r="A19" s="49"/>
      <c r="B19" s="1528">
        <v>6</v>
      </c>
      <c r="C19" s="20" t="s">
        <v>780</v>
      </c>
      <c r="D19" s="20"/>
      <c r="E19" s="1528">
        <v>6</v>
      </c>
      <c r="F19" s="20" t="s">
        <v>780</v>
      </c>
      <c r="G19" s="42"/>
      <c r="H19" s="42"/>
    </row>
    <row r="20" spans="1:8" s="687" customFormat="1" ht="15" thickBot="1" x14ac:dyDescent="0.4">
      <c r="A20" s="49"/>
      <c r="B20" s="903">
        <f>B18*B19</f>
        <v>39680000</v>
      </c>
      <c r="C20" s="670" t="s">
        <v>781</v>
      </c>
      <c r="D20" s="20"/>
      <c r="E20" s="903">
        <f>E18*E19</f>
        <v>23146666.666666668</v>
      </c>
      <c r="F20" s="670" t="s">
        <v>781</v>
      </c>
      <c r="G20" s="42"/>
      <c r="H20" s="42"/>
    </row>
    <row r="21" spans="1:8" s="687" customFormat="1" ht="15" thickBot="1" x14ac:dyDescent="0.4">
      <c r="A21" s="49"/>
      <c r="B21" s="553">
        <f>B15*B20</f>
        <v>2947033.6</v>
      </c>
      <c r="C21" s="507" t="s">
        <v>807</v>
      </c>
      <c r="D21" s="20"/>
      <c r="E21" s="553">
        <f>E15*E20</f>
        <v>1719102.9333333336</v>
      </c>
      <c r="F21" s="507" t="s">
        <v>807</v>
      </c>
      <c r="G21" s="42"/>
      <c r="H21" s="42"/>
    </row>
    <row r="22" spans="1:8" s="687" customFormat="1" x14ac:dyDescent="0.35">
      <c r="A22" s="49"/>
      <c r="B22" s="1288"/>
      <c r="C22" s="689"/>
      <c r="D22" s="689"/>
      <c r="E22" s="689"/>
      <c r="F22" s="42"/>
      <c r="G22" s="42"/>
      <c r="H22" s="42"/>
    </row>
    <row r="23" spans="1:8" s="687" customFormat="1" ht="15" thickBot="1" x14ac:dyDescent="0.4">
      <c r="A23" s="49"/>
      <c r="B23" s="689"/>
      <c r="C23" s="689"/>
      <c r="D23" s="689"/>
      <c r="E23" s="689"/>
      <c r="F23" s="42"/>
      <c r="G23" s="42"/>
      <c r="H23" s="42"/>
    </row>
    <row r="24" spans="1:8" s="687" customFormat="1" ht="15" thickBot="1" x14ac:dyDescent="0.4">
      <c r="A24" s="49"/>
      <c r="B24" s="1841" t="str">
        <f>(brew1_abb&amp;" Barley - Transportation")</f>
        <v>MAIN Barley - Transportation</v>
      </c>
      <c r="C24" s="1843"/>
      <c r="D24" s="20"/>
      <c r="E24" s="1841" t="str">
        <f>(brew2_abb&amp;" Barley - Transportation")</f>
        <v>2ND Barley - Transportation</v>
      </c>
      <c r="F24" s="1843"/>
      <c r="G24" s="42"/>
      <c r="H24" s="42"/>
    </row>
    <row r="25" spans="1:8" s="687" customFormat="1" x14ac:dyDescent="0.35">
      <c r="A25" s="49"/>
      <c r="B25" s="1287">
        <f>'Upstream-Malt'!B18</f>
        <v>950</v>
      </c>
      <c r="C25" s="912" t="s">
        <v>808</v>
      </c>
      <c r="D25" s="106"/>
      <c r="E25" s="1287">
        <f>'Upstream-Malt'!E18</f>
        <v>400</v>
      </c>
      <c r="F25" s="912" t="s">
        <v>808</v>
      </c>
      <c r="G25" s="42"/>
      <c r="H25" s="42"/>
    </row>
    <row r="26" spans="1:8" s="687" customFormat="1" x14ac:dyDescent="0.35">
      <c r="A26" s="49"/>
      <c r="B26" s="1283">
        <v>100</v>
      </c>
      <c r="C26" s="20" t="s">
        <v>809</v>
      </c>
      <c r="D26" s="106"/>
      <c r="E26" s="1283">
        <v>100</v>
      </c>
      <c r="F26" s="20" t="s">
        <v>809</v>
      </c>
      <c r="G26" s="42"/>
      <c r="H26" s="42"/>
    </row>
    <row r="27" spans="1:8" s="687" customFormat="1" ht="15" thickBot="1" x14ac:dyDescent="0.4">
      <c r="A27" s="49"/>
      <c r="B27" s="1529">
        <f>'Brewery-Control Data'!$C$41</f>
        <v>0.20200000000000001</v>
      </c>
      <c r="C27" s="1267" t="s">
        <v>786</v>
      </c>
      <c r="D27" s="106"/>
      <c r="E27" s="1529">
        <f>'Brewery-Control Data'!$C$41</f>
        <v>0.20200000000000001</v>
      </c>
      <c r="F27" s="1267" t="s">
        <v>786</v>
      </c>
      <c r="G27" s="42"/>
      <c r="H27" s="42"/>
    </row>
    <row r="28" spans="1:8" s="687" customFormat="1" ht="15" thickBot="1" x14ac:dyDescent="0.4">
      <c r="A28" s="49"/>
      <c r="B28" s="553">
        <f>B25*B26*B27</f>
        <v>19190</v>
      </c>
      <c r="C28" s="507" t="s">
        <v>810</v>
      </c>
      <c r="D28" s="106"/>
      <c r="E28" s="553">
        <f>E25*E26*E27</f>
        <v>8080.0000000000009</v>
      </c>
      <c r="F28" s="507" t="s">
        <v>810</v>
      </c>
      <c r="G28" s="42"/>
      <c r="H28" s="42"/>
    </row>
    <row r="29" spans="1:8" s="687" customFormat="1" x14ac:dyDescent="0.35">
      <c r="F29" s="42"/>
      <c r="G29" s="42"/>
      <c r="H29" s="42"/>
    </row>
    <row r="30" spans="1:8" s="687" customFormat="1" ht="15" thickBot="1" x14ac:dyDescent="0.4">
      <c r="F30" s="42"/>
      <c r="G30" s="42"/>
      <c r="H30" s="42"/>
    </row>
    <row r="31" spans="1:8" s="687" customFormat="1" ht="15" thickBot="1" x14ac:dyDescent="0.4">
      <c r="B31" s="1841" t="str">
        <f>(brew1_abb&amp;" Barley - Total")</f>
        <v>MAIN Barley - Total</v>
      </c>
      <c r="C31" s="1843"/>
      <c r="E31" s="1841" t="str">
        <f>(brew2_abb&amp;" Barley - Total")</f>
        <v>2ND Barley - Total</v>
      </c>
      <c r="F31" s="1843"/>
      <c r="G31" s="42"/>
      <c r="H31" s="42"/>
    </row>
    <row r="32" spans="1:8" s="687" customFormat="1" x14ac:dyDescent="0.35">
      <c r="B32" s="1284">
        <f>B21</f>
        <v>2947033.6</v>
      </c>
      <c r="C32" s="20" t="s">
        <v>783</v>
      </c>
      <c r="E32" s="1284">
        <f>E21</f>
        <v>1719102.9333333336</v>
      </c>
      <c r="F32" s="20" t="s">
        <v>783</v>
      </c>
      <c r="G32" s="42"/>
      <c r="H32" s="42"/>
    </row>
    <row r="33" spans="1:29" s="687" customFormat="1" ht="15" thickBot="1" x14ac:dyDescent="0.4">
      <c r="B33" s="1285">
        <f>B28</f>
        <v>19190</v>
      </c>
      <c r="C33" s="20" t="s">
        <v>787</v>
      </c>
      <c r="E33" s="1285">
        <f>E28</f>
        <v>8080.0000000000009</v>
      </c>
      <c r="F33" s="20" t="s">
        <v>787</v>
      </c>
      <c r="G33" s="42"/>
      <c r="H33" s="42"/>
    </row>
    <row r="34" spans="1:29" s="687" customFormat="1" ht="15" thickBot="1" x14ac:dyDescent="0.4">
      <c r="B34" s="509">
        <f>SUM(B32:B33)</f>
        <v>2966223.6</v>
      </c>
      <c r="C34" s="671" t="s">
        <v>811</v>
      </c>
      <c r="E34" s="509">
        <f>SUM(E32:E33)</f>
        <v>1727182.9333333336</v>
      </c>
      <c r="F34" s="671" t="s">
        <v>811</v>
      </c>
      <c r="G34" s="42"/>
      <c r="H34" s="42"/>
    </row>
    <row r="35" spans="1:29" s="687" customFormat="1" ht="15" thickBot="1" x14ac:dyDescent="0.4">
      <c r="B35" s="512">
        <f>'Brewery-Control Data'!$B$10</f>
        <v>123215.153565</v>
      </c>
      <c r="C35" s="672" t="s">
        <v>276</v>
      </c>
      <c r="E35" s="512">
        <f>'Brewery-Control Data'!$E$10</f>
        <v>88010.823974999992</v>
      </c>
      <c r="F35" s="672" t="s">
        <v>276</v>
      </c>
      <c r="G35" s="42"/>
      <c r="H35" s="42"/>
    </row>
    <row r="36" spans="1:29" s="687" customFormat="1" ht="15" thickBot="1" x14ac:dyDescent="0.4">
      <c r="B36" s="506">
        <f>B34/B35</f>
        <v>24.073529222484964</v>
      </c>
      <c r="C36" s="685" t="s">
        <v>812</v>
      </c>
      <c r="E36" s="506">
        <f>E34/E35</f>
        <v>19.624664959663942</v>
      </c>
      <c r="F36" s="685" t="s">
        <v>812</v>
      </c>
      <c r="G36" s="42"/>
      <c r="H36" s="42"/>
    </row>
    <row r="37" spans="1:29" s="687" customFormat="1" x14ac:dyDescent="0.35">
      <c r="G37" s="42"/>
      <c r="H37" s="42"/>
    </row>
    <row r="38" spans="1:29" s="687" customFormat="1" ht="15" thickBot="1" x14ac:dyDescent="0.4">
      <c r="G38" s="42"/>
      <c r="H38" s="42"/>
    </row>
    <row r="39" spans="1:29" s="687" customFormat="1" ht="16" thickBot="1" x14ac:dyDescent="0.4">
      <c r="A39" s="842" t="s">
        <v>492</v>
      </c>
      <c r="B39" s="918"/>
      <c r="C39" s="198"/>
      <c r="G39" s="42"/>
      <c r="H39" s="42"/>
    </row>
    <row r="40" spans="1:29" s="687" customFormat="1" ht="16" thickBot="1" x14ac:dyDescent="0.4">
      <c r="A40" s="900"/>
      <c r="B40" s="921"/>
      <c r="C40" s="198"/>
      <c r="G40" s="42"/>
      <c r="H40" s="42"/>
    </row>
    <row r="41" spans="1:29" s="687" customFormat="1" ht="15" thickBot="1" x14ac:dyDescent="0.4">
      <c r="B41" s="1841" t="s">
        <v>813</v>
      </c>
      <c r="C41" s="1843"/>
      <c r="G41" s="42"/>
      <c r="H41" s="42"/>
    </row>
    <row r="42" spans="1:29" s="687" customFormat="1" ht="15" thickBot="1" x14ac:dyDescent="0.4">
      <c r="B42" s="536">
        <f>B34+E34</f>
        <v>4693406.5333333332</v>
      </c>
      <c r="C42" s="537" t="s">
        <v>814</v>
      </c>
      <c r="G42" s="42"/>
      <c r="H42" s="42"/>
    </row>
    <row r="43" spans="1:29" s="687" customFormat="1" ht="15" thickBot="1" x14ac:dyDescent="0.4">
      <c r="B43" s="1286">
        <f>'Brewery-Control Data'!$H$10</f>
        <v>211225.97753999999</v>
      </c>
      <c r="C43" s="920" t="s">
        <v>276</v>
      </c>
      <c r="G43" s="42"/>
      <c r="H43" s="42"/>
    </row>
    <row r="44" spans="1:29" s="687" customFormat="1" ht="15" thickBot="1" x14ac:dyDescent="0.4">
      <c r="B44" s="506">
        <f>B42/B43</f>
        <v>22.219835779642871</v>
      </c>
      <c r="C44" s="685" t="s">
        <v>815</v>
      </c>
      <c r="G44" s="42"/>
      <c r="H44" s="42"/>
    </row>
    <row r="45" spans="1:29" s="687" customFormat="1" x14ac:dyDescent="0.35">
      <c r="F45" s="42"/>
      <c r="G45" s="42"/>
      <c r="H45" s="42"/>
    </row>
    <row r="46" spans="1:29" s="687" customFormat="1" x14ac:dyDescent="0.35">
      <c r="F46" s="42"/>
      <c r="G46" s="42"/>
      <c r="H46" s="42"/>
    </row>
    <row r="47" spans="1:29" s="687" customFormat="1" x14ac:dyDescent="0.35">
      <c r="F47" s="42"/>
      <c r="G47" s="42"/>
      <c r="H47" s="42"/>
    </row>
    <row r="48" spans="1:29" s="514" customFormat="1" x14ac:dyDescent="0.35">
      <c r="A48" s="687"/>
      <c r="B48" s="687"/>
      <c r="C48" s="687"/>
      <c r="D48" s="534"/>
      <c r="E48" s="687"/>
      <c r="F48" s="42"/>
      <c r="G48" s="42"/>
      <c r="H48" s="42"/>
      <c r="I48" s="687"/>
      <c r="J48" s="687"/>
      <c r="K48" s="687"/>
      <c r="L48" s="687"/>
      <c r="M48" s="687"/>
      <c r="N48" s="687"/>
      <c r="O48" s="687"/>
      <c r="P48" s="687"/>
      <c r="Q48" s="687"/>
      <c r="R48" s="687"/>
      <c r="S48" s="687"/>
      <c r="T48" s="687"/>
      <c r="U48" s="687"/>
      <c r="V48" s="687"/>
      <c r="W48" s="687"/>
      <c r="X48" s="687"/>
      <c r="Y48" s="687"/>
      <c r="Z48" s="687"/>
      <c r="AA48" s="687"/>
      <c r="AB48" s="687"/>
      <c r="AC48" s="687"/>
    </row>
    <row r="49" spans="1:29" s="514" customFormat="1" x14ac:dyDescent="0.35">
      <c r="A49" s="687"/>
      <c r="B49" s="687"/>
      <c r="C49" s="687"/>
      <c r="D49" s="457"/>
      <c r="E49" s="687"/>
      <c r="F49" s="42"/>
      <c r="G49" s="42"/>
      <c r="H49" s="42"/>
      <c r="I49" s="687"/>
      <c r="J49" s="687"/>
      <c r="K49" s="687"/>
      <c r="L49" s="687"/>
      <c r="M49" s="687"/>
      <c r="N49" s="687"/>
      <c r="O49" s="687"/>
      <c r="P49" s="687"/>
      <c r="Q49" s="687"/>
      <c r="R49" s="687"/>
      <c r="S49" s="687"/>
      <c r="T49" s="687"/>
      <c r="U49" s="687"/>
      <c r="V49" s="687"/>
      <c r="W49" s="687"/>
      <c r="X49" s="687"/>
      <c r="Y49" s="687"/>
      <c r="Z49" s="687"/>
      <c r="AA49" s="687"/>
      <c r="AB49" s="687"/>
      <c r="AC49" s="687"/>
    </row>
    <row r="50" spans="1:29" s="514" customFormat="1" ht="15" thickBot="1" x14ac:dyDescent="0.4">
      <c r="A50" s="583" t="s">
        <v>499</v>
      </c>
      <c r="B50" s="583"/>
      <c r="C50" s="583"/>
      <c r="D50" s="687"/>
      <c r="E50" s="687"/>
      <c r="F50" s="42"/>
      <c r="G50" s="42"/>
      <c r="H50" s="42"/>
      <c r="I50" s="687"/>
      <c r="J50" s="687"/>
      <c r="K50" s="687"/>
      <c r="L50" s="687"/>
      <c r="M50" s="687"/>
      <c r="N50" s="687"/>
      <c r="O50" s="687"/>
      <c r="P50" s="687"/>
      <c r="Q50" s="687"/>
      <c r="R50" s="687"/>
      <c r="S50" s="687"/>
      <c r="T50" s="687"/>
      <c r="U50" s="687"/>
      <c r="V50" s="687"/>
      <c r="W50" s="687"/>
      <c r="X50" s="687"/>
      <c r="Y50" s="687"/>
      <c r="Z50" s="687"/>
      <c r="AA50" s="687"/>
      <c r="AB50" s="687"/>
      <c r="AC50" s="687"/>
    </row>
    <row r="51" spans="1:29" s="514" customFormat="1" ht="15" thickTop="1" x14ac:dyDescent="0.35">
      <c r="A51" s="688" t="s">
        <v>816</v>
      </c>
      <c r="B51" s="687"/>
      <c r="C51" s="687"/>
      <c r="D51" s="687"/>
      <c r="E51" s="687"/>
      <c r="F51" s="42"/>
      <c r="G51" s="42"/>
      <c r="H51" s="42"/>
      <c r="I51" s="687"/>
      <c r="J51" s="687"/>
      <c r="K51" s="687"/>
      <c r="L51" s="687"/>
      <c r="M51" s="687"/>
      <c r="N51" s="687"/>
      <c r="O51" s="687"/>
      <c r="P51" s="687"/>
      <c r="Q51" s="687"/>
      <c r="R51" s="687"/>
      <c r="S51" s="687"/>
      <c r="T51" s="687"/>
      <c r="U51" s="687"/>
      <c r="V51" s="687"/>
      <c r="W51" s="687"/>
      <c r="X51" s="687"/>
      <c r="Y51" s="687"/>
      <c r="Z51" s="687"/>
      <c r="AA51" s="687"/>
      <c r="AB51" s="687"/>
      <c r="AC51" s="687"/>
    </row>
    <row r="52" spans="1:29" s="514" customFormat="1" x14ac:dyDescent="0.35">
      <c r="A52" s="687"/>
      <c r="B52" s="690" t="s">
        <v>817</v>
      </c>
      <c r="C52" s="690"/>
      <c r="D52" s="687"/>
      <c r="E52" s="687"/>
      <c r="F52" s="42"/>
      <c r="G52" s="42"/>
      <c r="H52" s="42"/>
      <c r="I52" s="687"/>
      <c r="J52" s="687"/>
      <c r="K52" s="687"/>
      <c r="L52" s="687"/>
      <c r="M52" s="687"/>
      <c r="N52" s="687"/>
      <c r="O52" s="687"/>
      <c r="P52" s="687"/>
      <c r="Q52" s="687"/>
      <c r="R52" s="687"/>
      <c r="S52" s="687"/>
      <c r="T52" s="687"/>
      <c r="U52" s="687"/>
      <c r="V52" s="687"/>
      <c r="W52" s="687"/>
      <c r="X52" s="687"/>
      <c r="Y52" s="687"/>
      <c r="Z52" s="687"/>
      <c r="AA52" s="687"/>
      <c r="AB52" s="687"/>
      <c r="AC52" s="687"/>
    </row>
    <row r="53" spans="1:29" s="514" customFormat="1" x14ac:dyDescent="0.35">
      <c r="A53" s="687"/>
      <c r="B53" s="687"/>
      <c r="C53" s="687"/>
      <c r="D53" s="687"/>
      <c r="E53" s="687"/>
      <c r="F53" s="42"/>
      <c r="G53" s="42"/>
      <c r="H53" s="42"/>
      <c r="I53" s="687"/>
      <c r="J53" s="687"/>
      <c r="K53" s="687"/>
      <c r="L53" s="687"/>
      <c r="M53" s="687"/>
      <c r="N53" s="687"/>
      <c r="O53" s="687"/>
      <c r="P53" s="687"/>
      <c r="Q53" s="687"/>
      <c r="R53" s="687"/>
      <c r="S53" s="687"/>
      <c r="T53" s="687"/>
      <c r="U53" s="687"/>
      <c r="V53" s="687"/>
      <c r="W53" s="687"/>
      <c r="X53" s="687"/>
      <c r="Y53" s="687"/>
      <c r="Z53" s="687"/>
      <c r="AA53" s="687"/>
      <c r="AB53" s="687"/>
      <c r="AC53" s="687"/>
    </row>
    <row r="54" spans="1:29" s="514" customFormat="1" x14ac:dyDescent="0.35">
      <c r="A54" s="687"/>
      <c r="B54" s="690"/>
      <c r="C54" s="690"/>
      <c r="D54" s="690"/>
      <c r="E54" s="687"/>
      <c r="F54" s="42"/>
      <c r="G54" s="42"/>
      <c r="H54" s="42"/>
      <c r="I54" s="687"/>
      <c r="J54" s="687"/>
      <c r="K54" s="687"/>
      <c r="L54" s="687"/>
      <c r="M54" s="687"/>
      <c r="N54" s="687"/>
      <c r="O54" s="687"/>
      <c r="P54" s="687"/>
      <c r="Q54" s="687"/>
      <c r="R54" s="687"/>
      <c r="S54" s="687"/>
      <c r="T54" s="687"/>
      <c r="U54" s="687"/>
      <c r="V54" s="687"/>
      <c r="W54" s="687"/>
      <c r="X54" s="687"/>
      <c r="Y54" s="687"/>
      <c r="Z54" s="687"/>
      <c r="AA54" s="687"/>
      <c r="AB54" s="687"/>
      <c r="AC54" s="687"/>
    </row>
    <row r="55" spans="1:29" ht="16" thickBot="1" x14ac:dyDescent="0.4">
      <c r="A55" s="1678"/>
      <c r="B55" s="1678"/>
      <c r="C55" s="1678"/>
      <c r="D55" s="1678"/>
      <c r="E55" s="1678"/>
      <c r="F55" s="1679" t="s">
        <v>72</v>
      </c>
      <c r="G55" s="1680"/>
      <c r="H55" s="1680"/>
      <c r="I55" s="1680"/>
      <c r="J55" s="1680"/>
      <c r="K55" s="1680"/>
      <c r="L55" s="1680"/>
      <c r="M55" s="1680"/>
      <c r="N55" s="1680"/>
      <c r="O55" s="1680"/>
      <c r="P55" s="1681"/>
      <c r="Q55" s="687"/>
      <c r="R55" s="687"/>
      <c r="S55" s="687"/>
      <c r="T55" s="687"/>
      <c r="U55" s="687"/>
      <c r="V55" s="687"/>
      <c r="W55" s="687"/>
      <c r="X55" s="687"/>
      <c r="Y55" s="687"/>
      <c r="Z55" s="687"/>
      <c r="AA55" s="687"/>
      <c r="AB55" s="687"/>
      <c r="AC55" s="687"/>
    </row>
    <row r="56" spans="1:29" ht="15" thickTop="1" x14ac:dyDescent="0.35">
      <c r="A56" s="87"/>
      <c r="B56" s="87"/>
      <c r="C56" s="87"/>
      <c r="D56" s="87"/>
      <c r="E56" s="87"/>
      <c r="F56" s="87"/>
      <c r="G56" s="457"/>
      <c r="H56" s="457"/>
      <c r="I56" s="457"/>
      <c r="J56" s="457"/>
      <c r="K56" s="457"/>
      <c r="L56" s="457"/>
      <c r="M56" s="457"/>
      <c r="N56" s="457"/>
      <c r="O56" s="457"/>
      <c r="P56" s="457"/>
      <c r="Q56" s="687"/>
      <c r="R56" s="687"/>
      <c r="S56" s="687"/>
      <c r="T56" s="687"/>
      <c r="U56" s="687"/>
      <c r="V56" s="687"/>
      <c r="W56" s="687"/>
      <c r="X56" s="687"/>
      <c r="Y56" s="687"/>
      <c r="Z56" s="687"/>
      <c r="AA56" s="687"/>
      <c r="AB56" s="687"/>
      <c r="AC56" s="687"/>
    </row>
  </sheetData>
  <mergeCells count="9">
    <mergeCell ref="B31:C31"/>
    <mergeCell ref="E31:F31"/>
    <mergeCell ref="B41:C41"/>
    <mergeCell ref="A1:F1"/>
    <mergeCell ref="B24:C24"/>
    <mergeCell ref="B7:C7"/>
    <mergeCell ref="E7:F7"/>
    <mergeCell ref="E24:F24"/>
    <mergeCell ref="E4:F5"/>
  </mergeCells>
  <phoneticPr fontId="44" type="noConversion"/>
  <hyperlinks>
    <hyperlink ref="B4" location="'Glossary-FAQs'!A1" display="Glossary/FAQ" xr:uid="{9836724C-07E6-4DC3-AE82-8BDBCAE50D85}"/>
    <hyperlink ref="C3" location="'Welcome'!C15" display="  = Data entry needed. See color legend on Welcome tab for more info.  " xr:uid="{4680D1D7-12C3-4FDE-962A-006604DF218F}"/>
  </hyperlinks>
  <pageMargins left="0.75" right="0.75" top="1" bottom="1" header="0.5" footer="0.5"/>
  <pageSetup orientation="portrait" horizontalDpi="4294967292"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FFC000"/>
  </sheetPr>
  <dimension ref="A1:AB183"/>
  <sheetViews>
    <sheetView zoomScale="88" zoomScaleNormal="90" workbookViewId="0">
      <selection activeCell="A2" sqref="A2"/>
    </sheetView>
  </sheetViews>
  <sheetFormatPr defaultColWidth="8.81640625" defaultRowHeight="14.5" x14ac:dyDescent="0.35"/>
  <cols>
    <col min="1" max="1" width="5" style="687" customWidth="1"/>
    <col min="2" max="2" width="16.54296875" customWidth="1"/>
    <col min="3" max="3" width="14.453125" customWidth="1"/>
    <col min="4" max="4" width="20.453125" customWidth="1"/>
    <col min="5" max="5" width="18.54296875" customWidth="1"/>
    <col min="6" max="6" width="19.453125" customWidth="1"/>
    <col min="7" max="7" width="16.1796875" customWidth="1"/>
    <col min="8" max="8" width="13.453125" customWidth="1"/>
    <col min="9" max="9" width="5.7265625" customWidth="1"/>
  </cols>
  <sheetData>
    <row r="1" spans="1:14" s="5" customFormat="1" ht="21.5" thickBot="1" x14ac:dyDescent="0.55000000000000004">
      <c r="A1" s="1925" t="s">
        <v>818</v>
      </c>
      <c r="B1" s="1926"/>
      <c r="C1" s="1926"/>
      <c r="D1" s="1926"/>
      <c r="E1" s="1926"/>
      <c r="F1" s="1926"/>
      <c r="G1" s="1926"/>
      <c r="H1" s="1926"/>
      <c r="I1" s="1927"/>
      <c r="J1" s="146"/>
      <c r="K1" s="146"/>
    </row>
    <row r="2" spans="1:14" s="5" customFormat="1" ht="15" customHeight="1" x14ac:dyDescent="0.4">
      <c r="B2" s="914"/>
      <c r="C2" s="98"/>
      <c r="D2" s="98"/>
      <c r="E2" s="102"/>
      <c r="H2" s="102"/>
      <c r="I2" s="146"/>
      <c r="J2" s="146"/>
      <c r="K2" s="146"/>
    </row>
    <row r="3" spans="1:14" s="5" customFormat="1" ht="15" customHeight="1" x14ac:dyDescent="0.35">
      <c r="B3" s="1558" t="s">
        <v>265</v>
      </c>
      <c r="C3" s="1617" t="s">
        <v>432</v>
      </c>
      <c r="D3" s="513"/>
      <c r="E3" s="513"/>
      <c r="F3" s="513"/>
      <c r="G3" s="1550"/>
      <c r="H3" s="513"/>
      <c r="I3" s="513"/>
      <c r="J3" s="687"/>
      <c r="K3" s="146"/>
    </row>
    <row r="4" spans="1:14" s="5" customFormat="1" ht="15" customHeight="1" x14ac:dyDescent="0.35">
      <c r="B4" s="1667" t="s">
        <v>268</v>
      </c>
      <c r="C4" s="44"/>
      <c r="D4" s="1918" t="s">
        <v>264</v>
      </c>
      <c r="E4" s="1936" t="s">
        <v>819</v>
      </c>
      <c r="F4" s="1936"/>
      <c r="G4" s="1936"/>
      <c r="H4" s="1936"/>
      <c r="I4" s="1936"/>
      <c r="J4" s="1666"/>
      <c r="K4" s="1666"/>
      <c r="L4" s="1666"/>
    </row>
    <row r="5" spans="1:14" s="5" customFormat="1" ht="64.5" customHeight="1" thickBot="1" x14ac:dyDescent="0.35">
      <c r="B5" s="19"/>
      <c r="C5" s="98"/>
      <c r="D5" s="1918"/>
      <c r="E5" s="1936"/>
      <c r="F5" s="1936"/>
      <c r="G5" s="1936"/>
      <c r="H5" s="1936"/>
      <c r="I5" s="1936"/>
      <c r="J5" s="1666"/>
      <c r="K5" s="1666"/>
      <c r="L5" s="1666"/>
    </row>
    <row r="6" spans="1:14" s="5" customFormat="1" ht="15" customHeight="1" thickBot="1" x14ac:dyDescent="0.4">
      <c r="A6" s="842" t="str">
        <f>(brew1_abb&amp;" CO2 Purchases Data")</f>
        <v>MAIN CO2 Purchases Data</v>
      </c>
      <c r="B6" s="614"/>
      <c r="C6" s="614"/>
      <c r="D6" s="98"/>
      <c r="E6" s="98"/>
      <c r="G6" s="98"/>
      <c r="H6" s="98"/>
      <c r="I6" s="98"/>
    </row>
    <row r="7" spans="1:14" x14ac:dyDescent="0.35">
      <c r="B7" s="1923" t="s">
        <v>820</v>
      </c>
      <c r="C7" s="1924"/>
      <c r="D7" s="1924"/>
      <c r="E7" s="1924"/>
      <c r="F7" s="1924"/>
      <c r="G7" s="1934"/>
      <c r="H7" s="35"/>
      <c r="I7" s="36"/>
      <c r="J7" s="687"/>
      <c r="K7" s="687"/>
      <c r="L7" s="687"/>
      <c r="M7" s="687"/>
      <c r="N7" s="687"/>
    </row>
    <row r="8" spans="1:14" s="456" customFormat="1" x14ac:dyDescent="0.35">
      <c r="A8" s="687"/>
      <c r="B8" s="1929" t="s">
        <v>821</v>
      </c>
      <c r="C8" s="1930"/>
      <c r="D8" s="1930"/>
      <c r="E8" s="1930"/>
      <c r="F8" s="1930"/>
      <c r="G8" s="1931"/>
      <c r="H8" s="98"/>
      <c r="I8" s="24"/>
      <c r="J8" s="687"/>
      <c r="K8" s="687"/>
      <c r="L8" s="687"/>
      <c r="M8" s="687"/>
      <c r="N8" s="687"/>
    </row>
    <row r="9" spans="1:14" x14ac:dyDescent="0.35">
      <c r="B9" s="473"/>
      <c r="C9" s="474">
        <v>175</v>
      </c>
      <c r="D9" s="475" t="s">
        <v>822</v>
      </c>
      <c r="E9" s="225"/>
      <c r="F9" s="108"/>
      <c r="G9" s="464"/>
      <c r="H9" s="98"/>
      <c r="I9" s="24"/>
      <c r="J9" s="687"/>
      <c r="K9" s="687"/>
      <c r="L9" s="687"/>
      <c r="M9" s="687"/>
      <c r="N9" s="687"/>
    </row>
    <row r="10" spans="1:14" s="514" customFormat="1" x14ac:dyDescent="0.35">
      <c r="A10" s="687"/>
      <c r="B10" s="473"/>
      <c r="C10" s="1624">
        <f>'Brewery-Electricity'!C26</f>
        <v>1273.5999999999999</v>
      </c>
      <c r="D10" s="475" t="s">
        <v>823</v>
      </c>
      <c r="E10" s="225"/>
      <c r="F10" s="108"/>
      <c r="G10" s="464"/>
      <c r="H10" s="98"/>
      <c r="I10" s="24"/>
      <c r="J10" s="687"/>
      <c r="K10" s="687"/>
      <c r="L10" s="687"/>
      <c r="M10" s="687"/>
      <c r="N10" s="687"/>
    </row>
    <row r="11" spans="1:14" s="514" customFormat="1" x14ac:dyDescent="0.35">
      <c r="A11" s="687"/>
      <c r="B11" s="473"/>
      <c r="C11" s="1624">
        <f>'Brewery-Electricity'!C27</f>
        <v>577.70117028032291</v>
      </c>
      <c r="D11" s="475" t="s">
        <v>824</v>
      </c>
      <c r="E11" s="225"/>
      <c r="F11" s="108"/>
      <c r="G11" s="464"/>
      <c r="H11" s="98"/>
      <c r="I11" s="24"/>
      <c r="J11" s="687"/>
      <c r="K11" s="687"/>
      <c r="L11" s="687"/>
      <c r="M11" s="687"/>
      <c r="N11" s="687"/>
    </row>
    <row r="12" spans="1:14" x14ac:dyDescent="0.35">
      <c r="B12" s="465"/>
      <c r="C12" s="1625">
        <f>'Brewery-Electricity'!C28</f>
        <v>0.57770117028032286</v>
      </c>
      <c r="D12" s="475" t="s">
        <v>825</v>
      </c>
      <c r="E12" s="225"/>
      <c r="F12" s="108"/>
      <c r="G12" s="464"/>
      <c r="H12" s="98"/>
      <c r="I12" s="24"/>
      <c r="J12" s="687"/>
      <c r="K12" s="687"/>
      <c r="L12" s="687"/>
      <c r="M12" s="687"/>
      <c r="N12" s="687"/>
    </row>
    <row r="13" spans="1:14" x14ac:dyDescent="0.35">
      <c r="B13" s="465"/>
      <c r="C13" s="476">
        <f>C9*C12</f>
        <v>101.0977047990565</v>
      </c>
      <c r="D13" s="477" t="s">
        <v>826</v>
      </c>
      <c r="E13" s="478"/>
      <c r="F13" s="108"/>
      <c r="G13" s="464"/>
      <c r="H13" s="689"/>
      <c r="I13" s="24"/>
      <c r="J13" s="687"/>
      <c r="K13" s="687"/>
      <c r="L13" s="687"/>
      <c r="M13" s="687"/>
      <c r="N13" s="687"/>
    </row>
    <row r="14" spans="1:14" s="456" customFormat="1" ht="15" customHeight="1" x14ac:dyDescent="0.35">
      <c r="A14" s="687"/>
      <c r="B14" s="1929" t="s">
        <v>827</v>
      </c>
      <c r="C14" s="1930"/>
      <c r="D14" s="1930"/>
      <c r="E14" s="1930"/>
      <c r="F14" s="1930"/>
      <c r="G14" s="1931"/>
      <c r="H14" s="879"/>
      <c r="I14" s="881"/>
      <c r="J14" s="880"/>
      <c r="K14" s="880"/>
      <c r="L14" s="687"/>
      <c r="M14" s="687"/>
      <c r="N14" s="687"/>
    </row>
    <row r="15" spans="1:14" x14ac:dyDescent="0.35">
      <c r="B15" s="465"/>
      <c r="C15" s="474">
        <v>219</v>
      </c>
      <c r="D15" s="475" t="s">
        <v>828</v>
      </c>
      <c r="E15" s="225"/>
      <c r="F15" s="108"/>
      <c r="G15" s="464"/>
      <c r="H15" s="879"/>
      <c r="I15" s="881"/>
      <c r="J15" s="880"/>
      <c r="K15" s="880"/>
      <c r="L15" s="687"/>
      <c r="M15" s="687"/>
      <c r="N15" s="687"/>
    </row>
    <row r="16" spans="1:14" s="456" customFormat="1" x14ac:dyDescent="0.35">
      <c r="A16" s="687"/>
      <c r="B16" s="465"/>
      <c r="C16" s="475">
        <f>'Brewery-Control Data'!$L$30</f>
        <v>0.453592</v>
      </c>
      <c r="D16" s="475" t="s">
        <v>829</v>
      </c>
      <c r="E16" s="225"/>
      <c r="F16" s="108"/>
      <c r="G16" s="464"/>
      <c r="H16" s="879"/>
      <c r="I16" s="881"/>
      <c r="J16" s="880"/>
      <c r="K16" s="880"/>
      <c r="L16" s="687"/>
      <c r="M16" s="687"/>
      <c r="N16" s="687"/>
    </row>
    <row r="17" spans="1:11" s="456" customFormat="1" x14ac:dyDescent="0.35">
      <c r="A17" s="687"/>
      <c r="B17" s="465"/>
      <c r="C17" s="475">
        <f>C15*C16</f>
        <v>99.336647999999997</v>
      </c>
      <c r="D17" s="475" t="s">
        <v>826</v>
      </c>
      <c r="E17" s="225"/>
      <c r="F17" s="108"/>
      <c r="G17" s="464"/>
      <c r="H17" s="879"/>
      <c r="I17" s="881"/>
      <c r="J17" s="880"/>
      <c r="K17" s="880"/>
    </row>
    <row r="18" spans="1:11" s="456" customFormat="1" x14ac:dyDescent="0.35">
      <c r="A18" s="687"/>
      <c r="B18" s="1929" t="s">
        <v>830</v>
      </c>
      <c r="C18" s="1930"/>
      <c r="D18" s="1930"/>
      <c r="E18" s="1930"/>
      <c r="F18" s="1930"/>
      <c r="G18" s="1931"/>
      <c r="H18" s="98"/>
      <c r="I18" s="20"/>
      <c r="J18" s="687"/>
      <c r="K18" s="687"/>
    </row>
    <row r="19" spans="1:11" s="42" customFormat="1" x14ac:dyDescent="0.35">
      <c r="B19" s="466"/>
      <c r="C19" s="479">
        <f>C13+C17</f>
        <v>200.43435279905651</v>
      </c>
      <c r="D19" s="480" t="s">
        <v>831</v>
      </c>
      <c r="E19" s="108"/>
      <c r="F19" s="467"/>
      <c r="G19" s="468"/>
      <c r="H19" s="160"/>
      <c r="I19" s="141"/>
    </row>
    <row r="20" spans="1:11" x14ac:dyDescent="0.35">
      <c r="B20" s="465"/>
      <c r="C20" s="1240">
        <f>'Brewery-Fugitive'!B33</f>
        <v>500000</v>
      </c>
      <c r="D20" s="475" t="s">
        <v>832</v>
      </c>
      <c r="E20" s="108"/>
      <c r="F20" s="108"/>
      <c r="G20" s="464"/>
      <c r="H20" s="689"/>
      <c r="I20" s="20"/>
      <c r="J20" s="687"/>
      <c r="K20" s="687"/>
    </row>
    <row r="21" spans="1:11" s="514" customFormat="1" x14ac:dyDescent="0.35">
      <c r="A21" s="687"/>
      <c r="B21" s="465"/>
      <c r="C21" s="1240">
        <f>C20*'Brewery-Control Data'!L30</f>
        <v>226796</v>
      </c>
      <c r="D21" s="475" t="s">
        <v>833</v>
      </c>
      <c r="E21" s="108"/>
      <c r="F21" s="108"/>
      <c r="G21" s="464"/>
      <c r="H21" s="689"/>
      <c r="I21" s="20"/>
      <c r="J21" s="687"/>
      <c r="K21" s="687"/>
    </row>
    <row r="22" spans="1:11" ht="15" thickBot="1" x14ac:dyDescent="0.4">
      <c r="B22" s="465"/>
      <c r="C22" s="475">
        <f>'Brewery-Control Data'!$L$43</f>
        <v>1E-3</v>
      </c>
      <c r="D22" s="475" t="s">
        <v>834</v>
      </c>
      <c r="E22" s="108"/>
      <c r="F22" s="108"/>
      <c r="G22" s="464"/>
      <c r="H22" s="882"/>
      <c r="I22" s="20"/>
      <c r="J22" s="687"/>
      <c r="K22" s="687"/>
    </row>
    <row r="23" spans="1:11" ht="15" thickBot="1" x14ac:dyDescent="0.4">
      <c r="B23" s="465"/>
      <c r="C23" s="481">
        <f>C19*C21*C22</f>
        <v>45457.709477414828</v>
      </c>
      <c r="D23" s="482" t="s">
        <v>835</v>
      </c>
      <c r="E23" s="470"/>
      <c r="F23" s="471"/>
      <c r="G23" s="464"/>
      <c r="H23" s="882"/>
      <c r="I23" s="20"/>
      <c r="J23" s="687"/>
      <c r="K23" s="687"/>
    </row>
    <row r="24" spans="1:11" s="514" customFormat="1" ht="15" thickBot="1" x14ac:dyDescent="0.4">
      <c r="A24" s="687"/>
      <c r="B24" s="465"/>
      <c r="C24" s="617">
        <f>'Brewery-Control Data'!B10</f>
        <v>123215.153565</v>
      </c>
      <c r="D24" s="400" t="s">
        <v>276</v>
      </c>
      <c r="E24" s="108"/>
      <c r="F24" s="108"/>
      <c r="G24" s="464"/>
      <c r="H24" s="882"/>
      <c r="I24" s="20"/>
      <c r="J24" s="687"/>
      <c r="K24" s="687"/>
    </row>
    <row r="25" spans="1:11" s="514" customFormat="1" ht="15" thickBot="1" x14ac:dyDescent="0.4">
      <c r="A25" s="687"/>
      <c r="B25" s="469"/>
      <c r="C25" s="1120">
        <f>C23/C24</f>
        <v>0.36892953636124315</v>
      </c>
      <c r="D25" s="615" t="s">
        <v>836</v>
      </c>
      <c r="E25" s="603"/>
      <c r="F25" s="618"/>
      <c r="G25" s="472"/>
      <c r="H25" s="882"/>
      <c r="I25" s="20"/>
      <c r="J25" s="687"/>
      <c r="K25" s="687"/>
    </row>
    <row r="26" spans="1:11" ht="15" thickBot="1" x14ac:dyDescent="0.4">
      <c r="B26" s="458"/>
      <c r="C26" s="457"/>
      <c r="D26" s="457"/>
      <c r="E26" s="457"/>
      <c r="F26" s="457"/>
      <c r="G26" s="689"/>
      <c r="H26" s="882"/>
      <c r="I26" s="20"/>
      <c r="J26" s="687"/>
      <c r="K26" s="687"/>
    </row>
    <row r="27" spans="1:11" ht="15" thickBot="1" x14ac:dyDescent="0.4">
      <c r="B27" s="1841" t="s">
        <v>837</v>
      </c>
      <c r="C27" s="1842"/>
      <c r="D27" s="1842"/>
      <c r="E27" s="1842"/>
      <c r="F27" s="1842"/>
      <c r="G27" s="1843"/>
      <c r="H27" s="1698"/>
      <c r="I27" s="141"/>
      <c r="J27" s="687"/>
      <c r="K27" s="687"/>
    </row>
    <row r="28" spans="1:11" x14ac:dyDescent="0.35">
      <c r="B28" s="460" t="s">
        <v>838</v>
      </c>
      <c r="C28" s="459"/>
      <c r="D28" s="83"/>
      <c r="E28" s="83"/>
      <c r="F28" s="83"/>
      <c r="G28" s="150"/>
      <c r="H28" s="160"/>
      <c r="I28" s="141"/>
      <c r="J28" s="687"/>
      <c r="K28" s="687"/>
    </row>
    <row r="29" spans="1:11" ht="34.5" customHeight="1" x14ac:dyDescent="0.35">
      <c r="B29" s="483"/>
      <c r="C29" s="485" t="s">
        <v>839</v>
      </c>
      <c r="D29" s="485" t="s">
        <v>133</v>
      </c>
      <c r="E29" s="486" t="s">
        <v>840</v>
      </c>
      <c r="F29" s="487" t="s">
        <v>841</v>
      </c>
      <c r="G29" s="488" t="s">
        <v>842</v>
      </c>
      <c r="H29" s="160"/>
      <c r="I29" s="141"/>
      <c r="J29" s="687"/>
      <c r="K29" s="687"/>
    </row>
    <row r="30" spans="1:11" ht="29" x14ac:dyDescent="0.35">
      <c r="B30" s="461" t="s">
        <v>843</v>
      </c>
      <c r="C30" s="525">
        <v>50</v>
      </c>
      <c r="D30" s="1623">
        <f>'Brewery-Control Data'!$C$39</f>
        <v>6.3</v>
      </c>
      <c r="E30" s="1405">
        <f>C30/D30</f>
        <v>7.9365079365079367</v>
      </c>
      <c r="F30" s="1623">
        <f>'Brewery-Control Data'!$C$40</f>
        <v>10.210000000000001</v>
      </c>
      <c r="G30" s="489">
        <f>E30*F30</f>
        <v>81.031746031746039</v>
      </c>
      <c r="H30" s="1698"/>
      <c r="I30" s="141"/>
      <c r="J30" s="687"/>
      <c r="K30" s="687"/>
    </row>
    <row r="31" spans="1:11" x14ac:dyDescent="0.35">
      <c r="B31" s="483"/>
      <c r="C31" s="108"/>
      <c r="D31" s="108"/>
      <c r="E31" s="1932" t="s">
        <v>844</v>
      </c>
      <c r="F31" s="1933"/>
      <c r="G31" s="462">
        <f>SUM(G30:G30)</f>
        <v>81.031746031746039</v>
      </c>
      <c r="H31" s="689"/>
      <c r="I31" s="20"/>
      <c r="J31" s="687"/>
      <c r="K31" s="687"/>
    </row>
    <row r="32" spans="1:11" s="456" customFormat="1" x14ac:dyDescent="0.35">
      <c r="A32" s="687"/>
      <c r="B32" s="483"/>
      <c r="C32" s="108"/>
      <c r="D32" s="108"/>
      <c r="E32" s="445"/>
      <c r="F32" s="445"/>
      <c r="G32" s="463"/>
      <c r="H32" s="689"/>
      <c r="I32" s="20"/>
      <c r="J32" s="687"/>
      <c r="K32" s="687"/>
    </row>
    <row r="33" spans="1:9" x14ac:dyDescent="0.35">
      <c r="B33" s="483"/>
      <c r="C33" s="703">
        <v>12</v>
      </c>
      <c r="D33" s="222" t="s">
        <v>845</v>
      </c>
      <c r="E33" s="222"/>
      <c r="F33" s="222"/>
      <c r="G33" s="492"/>
      <c r="H33" s="160"/>
      <c r="I33" s="141"/>
    </row>
    <row r="34" spans="1:9" ht="15" thickBot="1" x14ac:dyDescent="0.4">
      <c r="B34" s="483"/>
      <c r="C34" s="491">
        <f>G31</f>
        <v>81.031746031746039</v>
      </c>
      <c r="D34" s="222" t="s">
        <v>846</v>
      </c>
      <c r="E34" s="222"/>
      <c r="F34" s="222"/>
      <c r="G34" s="492"/>
      <c r="H34" s="169"/>
      <c r="I34" s="883"/>
    </row>
    <row r="35" spans="1:9" ht="15" thickBot="1" x14ac:dyDescent="0.4">
      <c r="B35" s="483"/>
      <c r="C35" s="481">
        <f>C33*C34</f>
        <v>972.38095238095252</v>
      </c>
      <c r="D35" s="360" t="s">
        <v>847</v>
      </c>
      <c r="E35" s="493"/>
      <c r="F35" s="471"/>
      <c r="G35" s="464"/>
      <c r="H35" s="170"/>
      <c r="I35" s="884"/>
    </row>
    <row r="36" spans="1:9" s="514" customFormat="1" ht="15" thickBot="1" x14ac:dyDescent="0.4">
      <c r="A36" s="687"/>
      <c r="B36" s="483"/>
      <c r="C36" s="617">
        <f>'Brewery-Control Data'!B10</f>
        <v>123215.153565</v>
      </c>
      <c r="D36" s="400" t="str">
        <f>D24</f>
        <v>hL Packaged</v>
      </c>
      <c r="E36" s="108"/>
      <c r="F36" s="108"/>
      <c r="G36" s="464"/>
      <c r="H36" s="170"/>
      <c r="I36" s="884"/>
    </row>
    <row r="37" spans="1:9" s="514" customFormat="1" ht="15" thickBot="1" x14ac:dyDescent="0.4">
      <c r="A37" s="687"/>
      <c r="B37" s="484"/>
      <c r="C37" s="1120">
        <f>C35/C36</f>
        <v>7.8917318547835104E-3</v>
      </c>
      <c r="D37" s="615" t="s">
        <v>848</v>
      </c>
      <c r="E37" s="603"/>
      <c r="F37" s="618"/>
      <c r="G37" s="472"/>
      <c r="H37" s="170"/>
      <c r="I37" s="884"/>
    </row>
    <row r="38" spans="1:9" ht="15" thickBot="1" x14ac:dyDescent="0.4">
      <c r="B38" s="483"/>
      <c r="C38" s="259"/>
      <c r="D38" s="259"/>
      <c r="E38" s="259"/>
      <c r="F38" s="259"/>
      <c r="G38" s="259"/>
      <c r="H38" s="173"/>
      <c r="I38" s="885"/>
    </row>
    <row r="39" spans="1:9" ht="15" thickBot="1" x14ac:dyDescent="0.4">
      <c r="B39" s="483"/>
      <c r="C39" s="481">
        <f>C23+C35</f>
        <v>46430.090429795782</v>
      </c>
      <c r="D39" s="494" t="s">
        <v>849</v>
      </c>
      <c r="E39" s="494"/>
      <c r="F39" s="494"/>
      <c r="G39" s="495"/>
      <c r="H39" s="267"/>
      <c r="I39" s="885"/>
    </row>
    <row r="40" spans="1:9" s="456" customFormat="1" ht="15" thickBot="1" x14ac:dyDescent="0.4">
      <c r="A40" s="687"/>
      <c r="B40" s="483"/>
      <c r="C40" s="617">
        <f>'Brewery-Control Data'!B10</f>
        <v>123215.153565</v>
      </c>
      <c r="D40" s="267" t="s">
        <v>276</v>
      </c>
      <c r="E40" s="267"/>
      <c r="F40" s="267"/>
      <c r="G40" s="267"/>
      <c r="H40" s="267"/>
      <c r="I40" s="885"/>
    </row>
    <row r="41" spans="1:9" s="456" customFormat="1" ht="15" thickBot="1" x14ac:dyDescent="0.4">
      <c r="A41" s="687"/>
      <c r="B41" s="484"/>
      <c r="C41" s="1120">
        <f>C39/C40</f>
        <v>0.37682126821602668</v>
      </c>
      <c r="D41" s="496" t="s">
        <v>850</v>
      </c>
      <c r="E41" s="496"/>
      <c r="F41" s="496"/>
      <c r="G41" s="497"/>
      <c r="H41" s="963"/>
      <c r="I41" s="886"/>
    </row>
    <row r="42" spans="1:9" x14ac:dyDescent="0.35">
      <c r="B42" s="687"/>
      <c r="C42" s="687"/>
      <c r="D42" s="687"/>
      <c r="E42" s="687"/>
      <c r="F42" s="687"/>
      <c r="G42" s="687"/>
      <c r="H42" s="173"/>
      <c r="I42" s="171"/>
    </row>
    <row r="43" spans="1:9" s="687" customFormat="1" ht="15" thickBot="1" x14ac:dyDescent="0.4">
      <c r="H43" s="173"/>
      <c r="I43" s="171"/>
    </row>
    <row r="44" spans="1:9" s="687" customFormat="1" ht="16" thickBot="1" x14ac:dyDescent="0.4">
      <c r="A44" s="842" t="str">
        <f>(brew2_abb&amp;" CO2 Purchases Data")</f>
        <v>2ND CO2 Purchases Data</v>
      </c>
      <c r="B44" s="614"/>
      <c r="C44" s="614"/>
      <c r="H44" s="173"/>
      <c r="I44" s="171"/>
    </row>
    <row r="45" spans="1:9" s="687" customFormat="1" x14ac:dyDescent="0.35">
      <c r="B45" s="1935" t="s">
        <v>820</v>
      </c>
      <c r="C45" s="1924"/>
      <c r="D45" s="1924"/>
      <c r="E45" s="1924"/>
      <c r="F45" s="1924"/>
      <c r="G45" s="1934"/>
      <c r="H45" s="887"/>
      <c r="I45" s="171"/>
    </row>
    <row r="46" spans="1:9" s="687" customFormat="1" x14ac:dyDescent="0.35">
      <c r="B46" s="1929" t="s">
        <v>821</v>
      </c>
      <c r="C46" s="1930"/>
      <c r="D46" s="1930"/>
      <c r="E46" s="1930"/>
      <c r="F46" s="1930"/>
      <c r="G46" s="1931"/>
      <c r="H46" s="888"/>
      <c r="I46" s="171"/>
    </row>
    <row r="47" spans="1:9" s="687" customFormat="1" x14ac:dyDescent="0.35">
      <c r="B47" s="473"/>
      <c r="C47" s="474">
        <v>175</v>
      </c>
      <c r="D47" s="475" t="s">
        <v>822</v>
      </c>
      <c r="E47" s="225"/>
      <c r="F47" s="108"/>
      <c r="G47" s="464"/>
      <c r="H47" s="888"/>
      <c r="I47" s="171"/>
    </row>
    <row r="48" spans="1:9" s="687" customFormat="1" x14ac:dyDescent="0.35">
      <c r="B48" s="473"/>
      <c r="C48" s="1624">
        <f>'Brewery-Electricity'!C70</f>
        <v>743.3</v>
      </c>
      <c r="D48" s="475" t="s">
        <v>823</v>
      </c>
      <c r="E48" s="225"/>
      <c r="F48" s="108"/>
      <c r="G48" s="464"/>
      <c r="H48" s="888"/>
      <c r="I48" s="171"/>
    </row>
    <row r="49" spans="2:9" s="687" customFormat="1" x14ac:dyDescent="0.35">
      <c r="B49" s="473"/>
      <c r="C49" s="1624">
        <f>'Brewery-Electricity'!C71</f>
        <v>337.15866823913632</v>
      </c>
      <c r="D49" s="475" t="s">
        <v>824</v>
      </c>
      <c r="E49" s="225"/>
      <c r="F49" s="108"/>
      <c r="G49" s="464"/>
      <c r="H49" s="888"/>
      <c r="I49" s="171"/>
    </row>
    <row r="50" spans="2:9" s="687" customFormat="1" x14ac:dyDescent="0.35">
      <c r="B50" s="465"/>
      <c r="C50" s="1625">
        <f>'Brewery-Electricity'!C72</f>
        <v>0.33715866823913632</v>
      </c>
      <c r="D50" s="475" t="s">
        <v>825</v>
      </c>
      <c r="E50" s="225"/>
      <c r="F50" s="108"/>
      <c r="G50" s="464"/>
      <c r="H50" s="888"/>
      <c r="I50" s="171"/>
    </row>
    <row r="51" spans="2:9" s="687" customFormat="1" x14ac:dyDescent="0.35">
      <c r="B51" s="465"/>
      <c r="C51" s="476">
        <f>C47*C50</f>
        <v>59.002766941848854</v>
      </c>
      <c r="D51" s="477" t="s">
        <v>826</v>
      </c>
      <c r="E51" s="478"/>
      <c r="F51" s="108"/>
      <c r="G51" s="464"/>
      <c r="H51" s="888"/>
      <c r="I51" s="171"/>
    </row>
    <row r="52" spans="2:9" s="687" customFormat="1" x14ac:dyDescent="0.35">
      <c r="B52" s="1929" t="s">
        <v>827</v>
      </c>
      <c r="C52" s="1930"/>
      <c r="D52" s="1930"/>
      <c r="E52" s="1930"/>
      <c r="F52" s="1930"/>
      <c r="G52" s="1931"/>
      <c r="H52" s="888"/>
      <c r="I52" s="171"/>
    </row>
    <row r="53" spans="2:9" s="687" customFormat="1" x14ac:dyDescent="0.35">
      <c r="B53" s="465"/>
      <c r="C53" s="474">
        <v>219</v>
      </c>
      <c r="D53" s="475" t="s">
        <v>828</v>
      </c>
      <c r="E53" s="225"/>
      <c r="F53" s="108"/>
      <c r="G53" s="464"/>
      <c r="H53" s="888"/>
      <c r="I53" s="171"/>
    </row>
    <row r="54" spans="2:9" s="687" customFormat="1" x14ac:dyDescent="0.35">
      <c r="B54" s="465"/>
      <c r="C54" s="475">
        <f>'Brewery-Control Data'!$L$30</f>
        <v>0.453592</v>
      </c>
      <c r="D54" s="475" t="s">
        <v>829</v>
      </c>
      <c r="E54" s="225"/>
      <c r="F54" s="108"/>
      <c r="G54" s="464"/>
      <c r="H54" s="888"/>
      <c r="I54" s="171"/>
    </row>
    <row r="55" spans="2:9" s="687" customFormat="1" x14ac:dyDescent="0.35">
      <c r="B55" s="465"/>
      <c r="C55" s="475">
        <f>C53*C54</f>
        <v>99.336647999999997</v>
      </c>
      <c r="D55" s="475" t="s">
        <v>826</v>
      </c>
      <c r="E55" s="225"/>
      <c r="F55" s="108"/>
      <c r="G55" s="464"/>
      <c r="H55" s="888"/>
      <c r="I55" s="171"/>
    </row>
    <row r="56" spans="2:9" s="687" customFormat="1" x14ac:dyDescent="0.35">
      <c r="B56" s="1929" t="s">
        <v>830</v>
      </c>
      <c r="C56" s="1930"/>
      <c r="D56" s="1930"/>
      <c r="E56" s="1930"/>
      <c r="F56" s="1930"/>
      <c r="G56" s="1931"/>
      <c r="H56" s="888"/>
      <c r="I56" s="171"/>
    </row>
    <row r="57" spans="2:9" s="687" customFormat="1" x14ac:dyDescent="0.35">
      <c r="B57" s="466"/>
      <c r="C57" s="479">
        <f>C51+C55</f>
        <v>158.33941494184884</v>
      </c>
      <c r="D57" s="480" t="s">
        <v>831</v>
      </c>
      <c r="E57" s="108"/>
      <c r="F57" s="467"/>
      <c r="G57" s="468"/>
      <c r="H57" s="888"/>
      <c r="I57" s="171"/>
    </row>
    <row r="58" spans="2:9" s="687" customFormat="1" x14ac:dyDescent="0.35">
      <c r="B58" s="465"/>
      <c r="C58" s="1240">
        <f>'Brewery-Fugitive'!B78</f>
        <v>300000</v>
      </c>
      <c r="D58" s="475" t="s">
        <v>851</v>
      </c>
      <c r="E58" s="108"/>
      <c r="F58" s="108"/>
      <c r="G58" s="464"/>
      <c r="H58" s="888"/>
      <c r="I58" s="171"/>
    </row>
    <row r="59" spans="2:9" s="687" customFormat="1" x14ac:dyDescent="0.35">
      <c r="B59" s="465"/>
      <c r="C59" s="1240">
        <f>C58/2.2046</f>
        <v>136079.10732105596</v>
      </c>
      <c r="D59" s="475" t="s">
        <v>833</v>
      </c>
      <c r="E59" s="108"/>
      <c r="F59" s="108"/>
      <c r="G59" s="464"/>
      <c r="H59" s="888"/>
      <c r="I59" s="171"/>
    </row>
    <row r="60" spans="2:9" s="687" customFormat="1" ht="15" thickBot="1" x14ac:dyDescent="0.4">
      <c r="B60" s="465"/>
      <c r="C60" s="475">
        <f>'Brewery-Control Data'!$L$43</f>
        <v>1E-3</v>
      </c>
      <c r="D60" s="475" t="s">
        <v>834</v>
      </c>
      <c r="E60" s="108"/>
      <c r="F60" s="108"/>
      <c r="G60" s="464"/>
      <c r="H60" s="888"/>
      <c r="I60" s="171"/>
    </row>
    <row r="61" spans="2:9" s="687" customFormat="1" ht="15" thickBot="1" x14ac:dyDescent="0.4">
      <c r="B61" s="465"/>
      <c r="C61" s="481">
        <f>C57*C59*C60</f>
        <v>21546.686239025061</v>
      </c>
      <c r="D61" s="482" t="s">
        <v>835</v>
      </c>
      <c r="E61" s="470"/>
      <c r="F61" s="471"/>
      <c r="G61" s="464"/>
      <c r="H61" s="888"/>
      <c r="I61" s="171"/>
    </row>
    <row r="62" spans="2:9" s="687" customFormat="1" ht="15" thickBot="1" x14ac:dyDescent="0.4">
      <c r="B62" s="465"/>
      <c r="C62" s="617">
        <f>'Brewery-Control Data'!$E$10</f>
        <v>88010.823974999992</v>
      </c>
      <c r="D62" s="400" t="s">
        <v>276</v>
      </c>
      <c r="E62" s="108"/>
      <c r="F62" s="108"/>
      <c r="G62" s="464"/>
      <c r="H62" s="888"/>
      <c r="I62" s="171"/>
    </row>
    <row r="63" spans="2:9" s="687" customFormat="1" ht="15" thickBot="1" x14ac:dyDescent="0.4">
      <c r="B63" s="469"/>
      <c r="C63" s="1120">
        <f>C61/C62</f>
        <v>0.24481859464405795</v>
      </c>
      <c r="D63" s="615" t="s">
        <v>836</v>
      </c>
      <c r="E63" s="603"/>
      <c r="F63" s="618"/>
      <c r="G63" s="472"/>
      <c r="H63" s="888"/>
      <c r="I63" s="171"/>
    </row>
    <row r="64" spans="2:9" s="687" customFormat="1" ht="15" thickBot="1" x14ac:dyDescent="0.4">
      <c r="B64" s="458"/>
      <c r="C64" s="457"/>
      <c r="D64" s="457"/>
      <c r="E64" s="457"/>
      <c r="F64" s="457"/>
      <c r="G64" s="689"/>
      <c r="H64" s="888"/>
      <c r="I64" s="171"/>
    </row>
    <row r="65" spans="2:9" s="687" customFormat="1" ht="15" thickBot="1" x14ac:dyDescent="0.4">
      <c r="B65" s="1841" t="s">
        <v>837</v>
      </c>
      <c r="C65" s="1842"/>
      <c r="D65" s="1842"/>
      <c r="E65" s="1842"/>
      <c r="F65" s="1842"/>
      <c r="G65" s="1843"/>
      <c r="H65" s="888"/>
      <c r="I65" s="171"/>
    </row>
    <row r="66" spans="2:9" s="687" customFormat="1" x14ac:dyDescent="0.35">
      <c r="B66" s="460" t="s">
        <v>838</v>
      </c>
      <c r="C66" s="459"/>
      <c r="D66" s="83"/>
      <c r="E66" s="83"/>
      <c r="F66" s="83"/>
      <c r="G66" s="150"/>
      <c r="H66" s="888"/>
      <c r="I66" s="171"/>
    </row>
    <row r="67" spans="2:9" s="687" customFormat="1" ht="29" x14ac:dyDescent="0.35">
      <c r="B67" s="483"/>
      <c r="C67" s="485" t="s">
        <v>839</v>
      </c>
      <c r="D67" s="485" t="s">
        <v>133</v>
      </c>
      <c r="E67" s="486" t="s">
        <v>840</v>
      </c>
      <c r="F67" s="487" t="s">
        <v>841</v>
      </c>
      <c r="G67" s="488" t="s">
        <v>842</v>
      </c>
      <c r="H67" s="888"/>
      <c r="I67" s="171"/>
    </row>
    <row r="68" spans="2:9" s="687" customFormat="1" ht="29" x14ac:dyDescent="0.35">
      <c r="B68" s="461" t="s">
        <v>843</v>
      </c>
      <c r="C68" s="525">
        <v>50</v>
      </c>
      <c r="D68" s="1623">
        <f>'Brewery-Control Data'!$C$39</f>
        <v>6.3</v>
      </c>
      <c r="E68" s="1405">
        <f>C68/D68</f>
        <v>7.9365079365079367</v>
      </c>
      <c r="F68" s="1623">
        <f>'Brewery-Control Data'!$C$40</f>
        <v>10.210000000000001</v>
      </c>
      <c r="G68" s="490">
        <f>E68*F68</f>
        <v>81.031746031746039</v>
      </c>
      <c r="H68" s="888"/>
      <c r="I68" s="171"/>
    </row>
    <row r="69" spans="2:9" s="687" customFormat="1" x14ac:dyDescent="0.35">
      <c r="B69" s="483"/>
      <c r="C69" s="108"/>
      <c r="D69" s="108"/>
      <c r="E69" s="1932" t="s">
        <v>844</v>
      </c>
      <c r="F69" s="1933"/>
      <c r="G69" s="462">
        <f>SUM(G68:G68)</f>
        <v>81.031746031746039</v>
      </c>
      <c r="H69" s="888"/>
      <c r="I69" s="171"/>
    </row>
    <row r="70" spans="2:9" s="687" customFormat="1" x14ac:dyDescent="0.35">
      <c r="B70" s="483"/>
      <c r="C70" s="108"/>
      <c r="D70" s="108"/>
      <c r="E70" s="445"/>
      <c r="F70" s="445"/>
      <c r="G70" s="463"/>
      <c r="H70" s="888"/>
      <c r="I70" s="171"/>
    </row>
    <row r="71" spans="2:9" s="687" customFormat="1" x14ac:dyDescent="0.35">
      <c r="B71" s="483"/>
      <c r="C71" s="491">
        <f>C58/40000</f>
        <v>7.5</v>
      </c>
      <c r="D71" s="222" t="s">
        <v>845</v>
      </c>
      <c r="E71" s="222"/>
      <c r="F71" s="222"/>
      <c r="G71" s="492"/>
      <c r="H71" s="888"/>
      <c r="I71" s="171"/>
    </row>
    <row r="72" spans="2:9" s="687" customFormat="1" ht="15" thickBot="1" x14ac:dyDescent="0.4">
      <c r="B72" s="483"/>
      <c r="C72" s="491">
        <f>G69</f>
        <v>81.031746031746039</v>
      </c>
      <c r="D72" s="222" t="s">
        <v>846</v>
      </c>
      <c r="E72" s="222"/>
      <c r="F72" s="222"/>
      <c r="G72" s="492"/>
      <c r="H72" s="888"/>
      <c r="I72" s="171"/>
    </row>
    <row r="73" spans="2:9" s="687" customFormat="1" ht="15" thickBot="1" x14ac:dyDescent="0.4">
      <c r="B73" s="483"/>
      <c r="C73" s="481">
        <f>C71*C72</f>
        <v>607.7380952380953</v>
      </c>
      <c r="D73" s="360" t="s">
        <v>847</v>
      </c>
      <c r="E73" s="493"/>
      <c r="F73" s="471"/>
      <c r="G73" s="464"/>
      <c r="H73" s="888"/>
      <c r="I73" s="171"/>
    </row>
    <row r="74" spans="2:9" s="687" customFormat="1" ht="15" thickBot="1" x14ac:dyDescent="0.4">
      <c r="B74" s="483"/>
      <c r="C74" s="617">
        <f>'Brewery-Control Data'!$E$10</f>
        <v>88010.823974999992</v>
      </c>
      <c r="D74" s="400" t="str">
        <f>D62</f>
        <v>hL Packaged</v>
      </c>
      <c r="E74" s="108"/>
      <c r="F74" s="108"/>
      <c r="G74" s="464"/>
      <c r="H74" s="888"/>
      <c r="I74" s="171"/>
    </row>
    <row r="75" spans="2:9" s="687" customFormat="1" ht="15" thickBot="1" x14ac:dyDescent="0.4">
      <c r="B75" s="484"/>
      <c r="C75" s="1120">
        <f>C73/C74</f>
        <v>6.905265372935572E-3</v>
      </c>
      <c r="D75" s="615" t="s">
        <v>848</v>
      </c>
      <c r="E75" s="603"/>
      <c r="F75" s="618"/>
      <c r="G75" s="472"/>
      <c r="H75" s="888"/>
      <c r="I75" s="171"/>
    </row>
    <row r="76" spans="2:9" s="687" customFormat="1" ht="15" thickBot="1" x14ac:dyDescent="0.4">
      <c r="B76" s="483"/>
      <c r="C76" s="259"/>
      <c r="D76" s="259"/>
      <c r="E76" s="259"/>
      <c r="F76" s="259"/>
      <c r="G76" s="259"/>
      <c r="H76" s="888"/>
      <c r="I76" s="171"/>
    </row>
    <row r="77" spans="2:9" s="687" customFormat="1" ht="15" thickBot="1" x14ac:dyDescent="0.4">
      <c r="B77" s="483"/>
      <c r="C77" s="481">
        <f>C61+C73</f>
        <v>22154.424334263156</v>
      </c>
      <c r="D77" s="494" t="s">
        <v>849</v>
      </c>
      <c r="E77" s="494"/>
      <c r="F77" s="494"/>
      <c r="G77" s="495"/>
      <c r="H77" s="888"/>
      <c r="I77" s="171"/>
    </row>
    <row r="78" spans="2:9" s="687" customFormat="1" ht="15" thickBot="1" x14ac:dyDescent="0.4">
      <c r="B78" s="483"/>
      <c r="C78" s="617">
        <f>'Brewery-Control Data'!$E$10</f>
        <v>88010.823974999992</v>
      </c>
      <c r="D78" s="267" t="s">
        <v>276</v>
      </c>
      <c r="E78" s="267"/>
      <c r="F78" s="267"/>
      <c r="G78" s="267"/>
      <c r="H78" s="888"/>
      <c r="I78" s="171"/>
    </row>
    <row r="79" spans="2:9" s="687" customFormat="1" ht="15" thickBot="1" x14ac:dyDescent="0.4">
      <c r="B79" s="484"/>
      <c r="C79" s="1120">
        <f>C77/C78</f>
        <v>0.25172386001699354</v>
      </c>
      <c r="D79" s="496" t="s">
        <v>850</v>
      </c>
      <c r="E79" s="496"/>
      <c r="F79" s="496"/>
      <c r="G79" s="497"/>
      <c r="H79" s="889"/>
      <c r="I79" s="171"/>
    </row>
    <row r="80" spans="2:9" s="687" customFormat="1" x14ac:dyDescent="0.35">
      <c r="H80" s="173"/>
      <c r="I80" s="171"/>
    </row>
    <row r="81" spans="1:28" s="687" customFormat="1" ht="15" thickBot="1" x14ac:dyDescent="0.4">
      <c r="H81" s="173"/>
      <c r="I81" s="171"/>
    </row>
    <row r="82" spans="1:28" s="687" customFormat="1" ht="16" thickBot="1" x14ac:dyDescent="0.4">
      <c r="A82" s="842" t="s">
        <v>492</v>
      </c>
      <c r="B82" s="278"/>
      <c r="C82" s="546"/>
      <c r="D82" s="198"/>
      <c r="E82" s="199"/>
      <c r="F82" s="200"/>
      <c r="G82" s="75"/>
      <c r="H82" s="173"/>
      <c r="I82" s="171"/>
    </row>
    <row r="83" spans="1:28" s="687" customFormat="1" ht="16" thickBot="1" x14ac:dyDescent="0.4">
      <c r="B83" s="822"/>
      <c r="C83" s="198"/>
      <c r="D83" s="198"/>
      <c r="E83" s="199"/>
      <c r="F83" s="200"/>
      <c r="G83" s="75"/>
      <c r="H83" s="173"/>
      <c r="I83" s="171"/>
    </row>
    <row r="84" spans="1:28" s="687" customFormat="1" ht="15" thickBot="1" x14ac:dyDescent="0.4">
      <c r="B84" s="1836" t="s">
        <v>852</v>
      </c>
      <c r="C84" s="1839"/>
      <c r="D84" s="1839"/>
      <c r="E84" s="1839"/>
      <c r="F84" s="1837"/>
      <c r="H84" s="173"/>
      <c r="I84" s="171"/>
    </row>
    <row r="85" spans="1:28" s="687" customFormat="1" ht="15" thickBot="1" x14ac:dyDescent="0.4">
      <c r="B85" s="277"/>
      <c r="C85" s="278"/>
      <c r="D85" s="279" t="s">
        <v>853</v>
      </c>
      <c r="E85" s="782">
        <f>C39+C77</f>
        <v>68584.514764058942</v>
      </c>
      <c r="F85" s="280" t="s">
        <v>495</v>
      </c>
      <c r="H85" s="173"/>
      <c r="I85" s="171"/>
    </row>
    <row r="86" spans="1:28" s="687" customFormat="1" ht="15" thickBot="1" x14ac:dyDescent="0.4">
      <c r="B86" s="159"/>
      <c r="C86" s="83"/>
      <c r="D86" s="198" t="s">
        <v>276</v>
      </c>
      <c r="E86" s="786">
        <f>'Brewery-Control Data'!$H$10</f>
        <v>211225.97753999999</v>
      </c>
      <c r="F86" s="790" t="s">
        <v>125</v>
      </c>
      <c r="H86" s="173"/>
      <c r="I86" s="171"/>
    </row>
    <row r="87" spans="1:28" s="687" customFormat="1" ht="15" thickBot="1" x14ac:dyDescent="0.4">
      <c r="B87" s="333"/>
      <c r="C87" s="334"/>
      <c r="D87" s="335" t="s">
        <v>853</v>
      </c>
      <c r="E87" s="336">
        <f>E85/E86</f>
        <v>0.32469734813309625</v>
      </c>
      <c r="F87" s="337" t="s">
        <v>498</v>
      </c>
      <c r="H87" s="173"/>
      <c r="I87" s="171"/>
    </row>
    <row r="88" spans="1:28" s="687" customFormat="1" x14ac:dyDescent="0.35">
      <c r="H88" s="173"/>
      <c r="I88" s="171"/>
    </row>
    <row r="89" spans="1:28" s="687" customFormat="1" x14ac:dyDescent="0.35">
      <c r="H89" s="173"/>
      <c r="I89" s="171"/>
    </row>
    <row r="90" spans="1:28" s="687" customFormat="1" x14ac:dyDescent="0.35">
      <c r="H90" s="173"/>
      <c r="I90" s="171"/>
    </row>
    <row r="91" spans="1:28" s="687" customFormat="1" x14ac:dyDescent="0.35">
      <c r="H91" s="173"/>
      <c r="I91" s="171"/>
    </row>
    <row r="92" spans="1:28" s="687" customFormat="1" x14ac:dyDescent="0.35">
      <c r="H92" s="173"/>
      <c r="I92" s="171"/>
    </row>
    <row r="93" spans="1:28" s="687" customFormat="1" x14ac:dyDescent="0.35">
      <c r="H93" s="173"/>
      <c r="I93" s="171"/>
    </row>
    <row r="94" spans="1:28" ht="15" thickBot="1" x14ac:dyDescent="0.4">
      <c r="A94" s="583" t="s">
        <v>499</v>
      </c>
      <c r="B94" s="583"/>
      <c r="C94" s="583"/>
      <c r="D94" s="583"/>
      <c r="E94" s="583"/>
      <c r="F94" s="687"/>
      <c r="G94" s="173"/>
      <c r="H94" s="171"/>
      <c r="I94" s="174"/>
      <c r="J94" s="687"/>
      <c r="K94" s="687"/>
      <c r="L94" s="687"/>
      <c r="M94" s="687"/>
      <c r="N94" s="687"/>
      <c r="O94" s="687"/>
      <c r="P94" s="687"/>
      <c r="Q94" s="687"/>
      <c r="R94" s="687"/>
      <c r="S94" s="687"/>
      <c r="T94" s="687"/>
      <c r="U94" s="687"/>
      <c r="V94" s="687"/>
      <c r="W94" s="687"/>
      <c r="X94" s="687"/>
      <c r="Y94" s="687"/>
      <c r="Z94" s="687"/>
      <c r="AA94" s="687"/>
      <c r="AB94" s="687"/>
    </row>
    <row r="95" spans="1:28" s="456" customFormat="1" ht="15" thickTop="1" x14ac:dyDescent="0.35">
      <c r="A95" s="688" t="s">
        <v>854</v>
      </c>
      <c r="B95" s="690"/>
      <c r="C95" s="690"/>
      <c r="D95" s="690"/>
      <c r="E95" s="690"/>
      <c r="F95" s="687"/>
      <c r="G95" s="173"/>
      <c r="H95" s="171"/>
      <c r="I95" s="174"/>
      <c r="J95" s="687"/>
      <c r="K95" s="687"/>
      <c r="L95" s="687"/>
      <c r="M95" s="687"/>
      <c r="N95" s="687"/>
      <c r="O95" s="687"/>
      <c r="P95" s="687"/>
      <c r="Q95" s="687"/>
      <c r="R95" s="687"/>
      <c r="S95" s="687"/>
      <c r="T95" s="687"/>
      <c r="U95" s="687"/>
      <c r="V95" s="687"/>
      <c r="W95" s="687"/>
      <c r="X95" s="687"/>
      <c r="Y95" s="687"/>
      <c r="Z95" s="687"/>
      <c r="AA95" s="687"/>
      <c r="AB95" s="687"/>
    </row>
    <row r="96" spans="1:28" s="456" customFormat="1" x14ac:dyDescent="0.35">
      <c r="A96" s="687"/>
      <c r="B96" s="450" t="s">
        <v>855</v>
      </c>
      <c r="C96" s="690"/>
      <c r="D96" s="690"/>
      <c r="E96" s="690"/>
      <c r="F96" s="687"/>
      <c r="G96" s="173"/>
      <c r="H96" s="171"/>
      <c r="I96" s="174"/>
      <c r="J96" s="687"/>
      <c r="K96" s="687"/>
      <c r="L96" s="687"/>
      <c r="M96" s="687"/>
      <c r="N96" s="687"/>
      <c r="O96" s="687"/>
      <c r="P96" s="687"/>
      <c r="Q96" s="687"/>
      <c r="R96" s="687"/>
      <c r="S96" s="687"/>
      <c r="T96" s="687"/>
      <c r="U96" s="687"/>
      <c r="V96" s="687"/>
      <c r="W96" s="687"/>
      <c r="X96" s="687"/>
      <c r="Y96" s="687"/>
      <c r="Z96" s="687"/>
      <c r="AA96" s="687"/>
      <c r="AB96" s="687"/>
    </row>
    <row r="97" spans="1:28" s="456" customFormat="1" x14ac:dyDescent="0.35">
      <c r="A97" s="687"/>
      <c r="B97" s="690"/>
      <c r="C97" s="687" t="s">
        <v>856</v>
      </c>
      <c r="D97" s="690"/>
      <c r="E97" s="690"/>
      <c r="F97" s="687"/>
      <c r="G97" s="173"/>
      <c r="H97" s="171"/>
      <c r="I97" s="174"/>
      <c r="J97" s="687"/>
      <c r="K97" s="687"/>
      <c r="L97" s="687"/>
      <c r="M97" s="687"/>
      <c r="N97" s="687"/>
      <c r="O97" s="687"/>
      <c r="P97" s="687"/>
      <c r="Q97" s="687"/>
      <c r="R97" s="687"/>
      <c r="S97" s="687"/>
      <c r="T97" s="687"/>
      <c r="U97" s="687"/>
      <c r="V97" s="687"/>
      <c r="W97" s="687"/>
      <c r="X97" s="687"/>
      <c r="Y97" s="687"/>
      <c r="Z97" s="687"/>
      <c r="AA97" s="687"/>
      <c r="AB97" s="687"/>
    </row>
    <row r="98" spans="1:28" s="456" customFormat="1" x14ac:dyDescent="0.35">
      <c r="A98" s="688" t="s">
        <v>504</v>
      </c>
      <c r="B98" s="690"/>
      <c r="C98" s="690"/>
      <c r="D98" s="690"/>
      <c r="E98" s="690"/>
      <c r="F98" s="687"/>
      <c r="G98" s="173"/>
      <c r="H98" s="171"/>
      <c r="I98" s="174"/>
      <c r="J98" s="687"/>
      <c r="K98" s="687"/>
      <c r="L98" s="687"/>
      <c r="M98" s="687"/>
      <c r="N98" s="687"/>
      <c r="O98" s="687"/>
      <c r="P98" s="687"/>
      <c r="Q98" s="687"/>
      <c r="R98" s="687"/>
      <c r="S98" s="687"/>
      <c r="T98" s="687"/>
      <c r="U98" s="687"/>
      <c r="V98" s="687"/>
      <c r="W98" s="687"/>
      <c r="X98" s="687"/>
      <c r="Y98" s="687"/>
      <c r="Z98" s="687"/>
      <c r="AA98" s="687"/>
      <c r="AB98" s="687"/>
    </row>
    <row r="99" spans="1:28" s="456" customFormat="1" x14ac:dyDescent="0.35">
      <c r="A99" s="266" t="s">
        <v>857</v>
      </c>
      <c r="B99" s="690"/>
      <c r="C99" s="690"/>
      <c r="D99" s="690"/>
      <c r="E99" s="690"/>
      <c r="F99" s="687"/>
      <c r="G99" s="173"/>
      <c r="H99" s="171"/>
      <c r="I99" s="174"/>
      <c r="J99" s="687"/>
      <c r="K99" s="687"/>
      <c r="L99" s="687"/>
      <c r="M99" s="687"/>
      <c r="N99" s="687"/>
      <c r="O99" s="687"/>
      <c r="P99" s="687"/>
      <c r="Q99" s="687"/>
      <c r="R99" s="687"/>
      <c r="S99" s="687"/>
      <c r="T99" s="687"/>
      <c r="U99" s="687"/>
      <c r="V99" s="687"/>
      <c r="W99" s="687"/>
      <c r="X99" s="687"/>
      <c r="Y99" s="687"/>
      <c r="Z99" s="687"/>
      <c r="AA99" s="687"/>
      <c r="AB99" s="687"/>
    </row>
    <row r="100" spans="1:28" s="456" customFormat="1" x14ac:dyDescent="0.35">
      <c r="A100" s="687" t="s">
        <v>504</v>
      </c>
      <c r="B100" s="687"/>
      <c r="C100" s="690"/>
      <c r="D100" s="690"/>
      <c r="E100" s="690"/>
      <c r="F100" s="687"/>
      <c r="G100" s="173"/>
      <c r="H100" s="171"/>
      <c r="I100" s="174"/>
      <c r="J100" s="687"/>
      <c r="K100" s="687"/>
      <c r="L100" s="687"/>
      <c r="M100" s="687"/>
      <c r="N100" s="687"/>
      <c r="O100" s="687"/>
      <c r="P100" s="687"/>
      <c r="Q100" s="687"/>
      <c r="R100" s="687"/>
      <c r="S100" s="687"/>
      <c r="T100" s="687"/>
      <c r="U100" s="687"/>
      <c r="V100" s="687"/>
      <c r="W100" s="687"/>
      <c r="X100" s="687"/>
      <c r="Y100" s="687"/>
      <c r="Z100" s="687"/>
      <c r="AA100" s="687"/>
      <c r="AB100" s="687"/>
    </row>
    <row r="101" spans="1:28" x14ac:dyDescent="0.35">
      <c r="A101" s="688" t="s">
        <v>858</v>
      </c>
      <c r="B101" s="690"/>
      <c r="C101" s="690"/>
      <c r="D101" s="690"/>
      <c r="E101" s="690"/>
      <c r="F101" s="168"/>
      <c r="G101" s="173"/>
      <c r="H101" s="171"/>
      <c r="I101" s="174"/>
      <c r="J101" s="687"/>
      <c r="K101" s="687"/>
      <c r="L101" s="687"/>
      <c r="M101" s="687"/>
      <c r="N101" s="687"/>
      <c r="O101" s="687"/>
      <c r="P101" s="687"/>
      <c r="Q101" s="687"/>
      <c r="R101" s="687"/>
      <c r="S101" s="687"/>
      <c r="T101" s="687"/>
      <c r="U101" s="687"/>
      <c r="V101" s="687"/>
      <c r="W101" s="687"/>
      <c r="X101" s="687"/>
      <c r="Y101" s="687"/>
      <c r="Z101" s="687"/>
      <c r="AA101" s="687"/>
      <c r="AB101" s="687"/>
    </row>
    <row r="102" spans="1:28" s="456" customFormat="1" x14ac:dyDescent="0.35">
      <c r="A102" s="687"/>
      <c r="B102" s="687" t="s">
        <v>859</v>
      </c>
      <c r="C102" s="171"/>
      <c r="D102" s="171"/>
      <c r="E102" s="171"/>
      <c r="F102" s="171"/>
      <c r="G102" s="173"/>
      <c r="H102" s="171"/>
      <c r="I102" s="174"/>
      <c r="J102" s="687"/>
      <c r="K102" s="687"/>
      <c r="L102" s="687"/>
      <c r="M102" s="687"/>
      <c r="N102" s="687"/>
      <c r="O102" s="687"/>
      <c r="P102" s="687"/>
      <c r="Q102" s="687"/>
      <c r="R102" s="687"/>
      <c r="S102" s="687"/>
      <c r="T102" s="687"/>
      <c r="U102" s="687"/>
      <c r="V102" s="687"/>
      <c r="W102" s="687"/>
      <c r="X102" s="687"/>
      <c r="Y102" s="687"/>
      <c r="Z102" s="687"/>
      <c r="AA102" s="687"/>
      <c r="AB102" s="687"/>
    </row>
    <row r="103" spans="1:28" s="687" customFormat="1" x14ac:dyDescent="0.35">
      <c r="A103" s="687" t="s">
        <v>504</v>
      </c>
      <c r="C103" s="171"/>
      <c r="D103" s="171"/>
      <c r="E103" s="171"/>
      <c r="F103" s="171"/>
      <c r="G103" s="173"/>
      <c r="H103" s="171"/>
      <c r="I103" s="174"/>
    </row>
    <row r="104" spans="1:28" x14ac:dyDescent="0.35">
      <c r="A104" s="688" t="s">
        <v>860</v>
      </c>
      <c r="B104" s="687"/>
      <c r="C104" s="171"/>
      <c r="D104" s="171"/>
      <c r="E104" s="171"/>
      <c r="F104" s="171"/>
      <c r="G104" s="173"/>
      <c r="H104" s="171"/>
      <c r="I104" s="174"/>
      <c r="J104" s="687"/>
      <c r="K104" s="687"/>
      <c r="L104" s="687"/>
      <c r="M104" s="687"/>
      <c r="N104" s="687"/>
      <c r="O104" s="687"/>
      <c r="P104" s="687"/>
      <c r="Q104" s="687"/>
      <c r="R104" s="687"/>
      <c r="S104" s="687"/>
      <c r="T104" s="687"/>
      <c r="U104" s="687"/>
      <c r="V104" s="687"/>
      <c r="W104" s="687"/>
      <c r="X104" s="687"/>
      <c r="Y104" s="687"/>
      <c r="Z104" s="687"/>
      <c r="AA104" s="687"/>
      <c r="AB104" s="687"/>
    </row>
    <row r="105" spans="1:28" x14ac:dyDescent="0.35">
      <c r="B105" s="687" t="s">
        <v>861</v>
      </c>
      <c r="C105" s="171"/>
      <c r="D105" s="171"/>
      <c r="E105" s="171"/>
      <c r="F105" s="171"/>
      <c r="G105" s="173"/>
      <c r="H105" s="171"/>
      <c r="I105" s="174"/>
      <c r="J105" s="687"/>
      <c r="K105" s="687"/>
      <c r="L105" s="687"/>
      <c r="M105" s="687"/>
      <c r="N105" s="687"/>
      <c r="O105" s="687"/>
      <c r="P105" s="687"/>
      <c r="Q105" s="687"/>
      <c r="R105" s="687"/>
      <c r="S105" s="687"/>
      <c r="T105" s="687"/>
      <c r="U105" s="687"/>
      <c r="V105" s="687"/>
      <c r="W105" s="687"/>
      <c r="X105" s="687"/>
      <c r="Y105" s="687"/>
      <c r="Z105" s="687"/>
      <c r="AA105" s="687"/>
      <c r="AB105" s="687"/>
    </row>
    <row r="106" spans="1:28" x14ac:dyDescent="0.35">
      <c r="B106" s="687"/>
      <c r="C106" s="171"/>
      <c r="D106" s="171"/>
      <c r="E106" s="171"/>
      <c r="F106" s="171"/>
      <c r="G106" s="173"/>
      <c r="H106" s="171"/>
      <c r="I106" s="174"/>
      <c r="J106" s="687"/>
      <c r="K106" s="687"/>
      <c r="L106" s="687"/>
      <c r="M106" s="687"/>
      <c r="N106" s="687"/>
      <c r="O106" s="687"/>
      <c r="P106" s="687"/>
      <c r="Q106" s="687"/>
      <c r="R106" s="687"/>
      <c r="S106" s="687"/>
      <c r="T106" s="687"/>
      <c r="U106" s="687"/>
      <c r="V106" s="687"/>
      <c r="W106" s="687"/>
      <c r="X106" s="687"/>
      <c r="Y106" s="687"/>
      <c r="Z106" s="687"/>
      <c r="AA106" s="687"/>
      <c r="AB106" s="687"/>
    </row>
    <row r="107" spans="1:28" x14ac:dyDescent="0.35">
      <c r="B107" s="687"/>
      <c r="C107" s="171"/>
      <c r="D107" s="171"/>
      <c r="E107" s="171"/>
      <c r="F107" s="171"/>
      <c r="G107" s="173"/>
      <c r="H107" s="171"/>
      <c r="I107" s="174"/>
      <c r="J107" s="687"/>
      <c r="K107" s="687"/>
      <c r="L107" s="687"/>
      <c r="M107" s="687"/>
      <c r="N107" s="687"/>
      <c r="O107" s="687"/>
      <c r="P107" s="687"/>
      <c r="Q107" s="687"/>
      <c r="R107" s="687"/>
      <c r="S107" s="687"/>
      <c r="T107" s="687"/>
      <c r="U107" s="687"/>
      <c r="V107" s="687"/>
      <c r="W107" s="687"/>
      <c r="X107" s="687"/>
      <c r="Y107" s="687"/>
      <c r="Z107" s="687"/>
      <c r="AA107" s="687"/>
      <c r="AB107" s="687"/>
    </row>
    <row r="108" spans="1:28" ht="16" thickBot="1" x14ac:dyDescent="0.4">
      <c r="A108" s="1678"/>
      <c r="B108" s="1678"/>
      <c r="C108" s="1678"/>
      <c r="D108" s="1678"/>
      <c r="E108" s="1678"/>
      <c r="F108" s="1678"/>
      <c r="G108" s="1678"/>
      <c r="H108" s="1679" t="s">
        <v>72</v>
      </c>
      <c r="I108" s="1680"/>
      <c r="J108" s="1680"/>
      <c r="K108" s="1680"/>
      <c r="L108" s="1680"/>
      <c r="M108" s="1680"/>
      <c r="N108" s="1680"/>
      <c r="O108" s="1680"/>
      <c r="P108" s="1681"/>
      <c r="Q108" s="687"/>
      <c r="R108" s="687"/>
      <c r="S108" s="687"/>
      <c r="T108" s="687"/>
      <c r="U108" s="687"/>
      <c r="V108" s="687"/>
      <c r="W108" s="687"/>
      <c r="X108" s="687"/>
      <c r="Y108" s="687"/>
      <c r="Z108" s="687"/>
      <c r="AA108" s="687"/>
      <c r="AB108" s="687"/>
    </row>
    <row r="109" spans="1:28" ht="15" thickTop="1" x14ac:dyDescent="0.35">
      <c r="A109" s="87"/>
      <c r="B109" s="87"/>
      <c r="C109" s="87"/>
      <c r="D109" s="87"/>
      <c r="E109" s="87"/>
      <c r="F109" s="87"/>
      <c r="G109" s="87"/>
      <c r="H109" s="87"/>
      <c r="I109" s="457"/>
      <c r="J109" s="457"/>
      <c r="K109" s="457"/>
      <c r="L109" s="457"/>
      <c r="M109" s="457"/>
      <c r="N109" s="457"/>
      <c r="O109" s="457"/>
      <c r="P109" s="457"/>
      <c r="Q109" s="687"/>
      <c r="R109" s="687"/>
      <c r="S109" s="687"/>
      <c r="T109" s="687"/>
      <c r="U109" s="687"/>
      <c r="V109" s="687"/>
      <c r="W109" s="687"/>
      <c r="X109" s="687"/>
      <c r="Y109" s="687"/>
      <c r="Z109" s="687"/>
      <c r="AA109" s="687"/>
      <c r="AB109" s="687"/>
    </row>
    <row r="110" spans="1:28" x14ac:dyDescent="0.35">
      <c r="B110" s="687"/>
      <c r="C110" s="687"/>
      <c r="D110" s="171"/>
      <c r="E110" s="171"/>
      <c r="F110" s="171"/>
      <c r="G110" s="171"/>
      <c r="H110" s="173"/>
      <c r="I110" s="457"/>
      <c r="J110" s="687"/>
      <c r="K110" s="687"/>
      <c r="L110" s="687"/>
      <c r="M110" s="687"/>
      <c r="N110" s="687"/>
      <c r="O110" s="687"/>
      <c r="P110" s="687"/>
      <c r="Q110" s="687"/>
      <c r="R110" s="687"/>
      <c r="S110" s="687"/>
      <c r="T110" s="687"/>
      <c r="U110" s="687"/>
      <c r="V110" s="687"/>
      <c r="W110" s="687"/>
      <c r="X110" s="687"/>
      <c r="Y110" s="687"/>
      <c r="Z110" s="687"/>
      <c r="AA110" s="687"/>
      <c r="AB110" s="687"/>
    </row>
    <row r="111" spans="1:28" x14ac:dyDescent="0.35">
      <c r="B111" s="687"/>
      <c r="C111" s="687"/>
      <c r="D111" s="171"/>
      <c r="E111" s="171"/>
      <c r="F111" s="171"/>
      <c r="G111" s="171"/>
      <c r="H111" s="173"/>
      <c r="I111" s="457"/>
      <c r="J111" s="687"/>
      <c r="K111" s="687"/>
      <c r="L111" s="687"/>
      <c r="M111" s="687"/>
      <c r="N111" s="687"/>
      <c r="O111" s="687"/>
      <c r="P111" s="687"/>
      <c r="Q111" s="687"/>
      <c r="R111" s="687"/>
      <c r="S111" s="687"/>
      <c r="T111" s="687"/>
      <c r="U111" s="687"/>
      <c r="V111" s="687"/>
      <c r="W111" s="687"/>
      <c r="X111" s="687"/>
      <c r="Y111" s="687"/>
      <c r="Z111" s="687"/>
      <c r="AA111" s="687"/>
      <c r="AB111" s="687"/>
    </row>
    <row r="112" spans="1:28" x14ac:dyDescent="0.35">
      <c r="B112" s="687"/>
      <c r="C112" s="687"/>
      <c r="D112" s="171"/>
      <c r="E112" s="171"/>
      <c r="F112" s="171"/>
      <c r="G112" s="171"/>
      <c r="H112" s="173"/>
      <c r="I112" s="457"/>
      <c r="J112" s="687"/>
      <c r="K112" s="687"/>
      <c r="L112" s="687"/>
      <c r="M112" s="687"/>
      <c r="N112" s="687"/>
      <c r="O112" s="687"/>
      <c r="P112" s="687"/>
      <c r="Q112" s="687"/>
      <c r="R112" s="687"/>
      <c r="S112" s="687"/>
      <c r="T112" s="687"/>
      <c r="U112" s="687"/>
      <c r="V112" s="687"/>
      <c r="W112" s="687"/>
      <c r="X112" s="687"/>
      <c r="Y112" s="687"/>
      <c r="Z112" s="687"/>
      <c r="AA112" s="687"/>
      <c r="AB112" s="687"/>
    </row>
    <row r="113" spans="2:28" x14ac:dyDescent="0.35">
      <c r="B113" s="687"/>
      <c r="C113" s="687"/>
      <c r="D113" s="171"/>
      <c r="E113" s="171"/>
      <c r="F113" s="171"/>
      <c r="G113" s="171"/>
      <c r="H113" s="173"/>
      <c r="I113" s="457"/>
      <c r="J113" s="687"/>
      <c r="K113" s="687"/>
      <c r="L113" s="687"/>
      <c r="M113" s="687"/>
      <c r="N113" s="687"/>
      <c r="O113" s="687"/>
      <c r="P113" s="687"/>
      <c r="Q113" s="687"/>
      <c r="R113" s="687"/>
      <c r="S113" s="687"/>
      <c r="T113" s="687"/>
      <c r="U113" s="687"/>
      <c r="V113" s="687"/>
      <c r="W113" s="687"/>
      <c r="X113" s="687"/>
      <c r="Y113" s="687"/>
      <c r="Z113" s="687"/>
      <c r="AA113" s="687"/>
      <c r="AB113" s="687"/>
    </row>
    <row r="114" spans="2:28" x14ac:dyDescent="0.35">
      <c r="B114" s="457"/>
      <c r="C114" s="457"/>
      <c r="D114" s="457"/>
      <c r="E114" s="457"/>
      <c r="F114" s="457"/>
      <c r="G114" s="457"/>
      <c r="H114" s="173"/>
      <c r="I114" s="457"/>
      <c r="J114" s="687"/>
      <c r="K114" s="687"/>
      <c r="L114" s="687"/>
      <c r="M114" s="687"/>
      <c r="N114" s="687"/>
      <c r="O114" s="687"/>
      <c r="P114" s="687"/>
      <c r="Q114" s="687"/>
      <c r="R114" s="687"/>
      <c r="S114" s="687"/>
      <c r="T114" s="687"/>
      <c r="U114" s="687"/>
      <c r="V114" s="687"/>
      <c r="W114" s="687"/>
      <c r="X114" s="687"/>
      <c r="Y114" s="687"/>
      <c r="Z114" s="687"/>
      <c r="AA114" s="687"/>
      <c r="AB114" s="687"/>
    </row>
    <row r="115" spans="2:28" x14ac:dyDescent="0.35">
      <c r="B115" s="687"/>
      <c r="C115" s="687"/>
      <c r="D115" s="171"/>
      <c r="E115" s="171"/>
      <c r="F115" s="171"/>
      <c r="G115" s="171"/>
      <c r="H115" s="173"/>
      <c r="I115" s="457"/>
      <c r="J115" s="687"/>
      <c r="K115" s="687"/>
      <c r="L115" s="687"/>
      <c r="M115" s="687"/>
      <c r="N115" s="687"/>
      <c r="O115" s="687"/>
      <c r="P115" s="687"/>
      <c r="Q115" s="687"/>
      <c r="R115" s="687"/>
      <c r="S115" s="687"/>
      <c r="T115" s="687"/>
      <c r="U115" s="687"/>
      <c r="V115" s="687"/>
      <c r="W115" s="687"/>
      <c r="X115" s="687"/>
      <c r="Y115" s="687"/>
      <c r="Z115" s="687"/>
      <c r="AA115" s="687"/>
      <c r="AB115" s="687"/>
    </row>
    <row r="116" spans="2:28" x14ac:dyDescent="0.35">
      <c r="B116" s="687"/>
      <c r="C116" s="687"/>
      <c r="D116" s="171"/>
      <c r="E116" s="171"/>
      <c r="F116" s="171"/>
      <c r="G116" s="171"/>
      <c r="H116" s="173"/>
      <c r="I116" s="457"/>
      <c r="J116" s="687"/>
      <c r="K116" s="687"/>
      <c r="L116" s="687"/>
      <c r="M116" s="687"/>
      <c r="N116" s="687"/>
      <c r="O116" s="687"/>
      <c r="P116" s="687"/>
      <c r="Q116" s="687"/>
      <c r="R116" s="687"/>
      <c r="S116" s="687"/>
      <c r="T116" s="687"/>
      <c r="U116" s="687"/>
      <c r="V116" s="687"/>
      <c r="W116" s="687"/>
      <c r="X116" s="687"/>
      <c r="Y116" s="687"/>
      <c r="Z116" s="687"/>
      <c r="AA116" s="687"/>
      <c r="AB116" s="687"/>
    </row>
    <row r="117" spans="2:28" x14ac:dyDescent="0.35">
      <c r="B117" s="687"/>
      <c r="C117" s="687"/>
      <c r="D117" s="171"/>
      <c r="E117" s="171"/>
      <c r="F117" s="171"/>
      <c r="G117" s="171"/>
      <c r="H117" s="173"/>
      <c r="I117" s="457"/>
      <c r="J117" s="687"/>
      <c r="K117" s="687"/>
      <c r="L117" s="687"/>
      <c r="M117" s="687"/>
      <c r="N117" s="687"/>
      <c r="O117" s="687"/>
      <c r="P117" s="687"/>
      <c r="Q117" s="687"/>
      <c r="R117" s="687"/>
      <c r="S117" s="687"/>
      <c r="T117" s="687"/>
      <c r="U117" s="687"/>
      <c r="V117" s="687"/>
      <c r="W117" s="687"/>
      <c r="X117" s="687"/>
      <c r="Y117" s="687"/>
      <c r="Z117" s="687"/>
      <c r="AA117" s="687"/>
      <c r="AB117" s="687"/>
    </row>
    <row r="118" spans="2:28" x14ac:dyDescent="0.35">
      <c r="B118" s="687"/>
      <c r="C118" s="687"/>
      <c r="D118" s="171"/>
      <c r="E118" s="171"/>
      <c r="F118" s="171"/>
      <c r="G118" s="171"/>
      <c r="H118" s="173"/>
      <c r="I118" s="457"/>
      <c r="J118" s="687"/>
      <c r="K118" s="687"/>
      <c r="L118" s="687"/>
      <c r="M118" s="687"/>
      <c r="N118" s="687"/>
      <c r="O118" s="687"/>
      <c r="P118" s="687"/>
      <c r="Q118" s="687"/>
      <c r="R118" s="687"/>
      <c r="S118" s="687"/>
      <c r="T118" s="687"/>
      <c r="U118" s="687"/>
      <c r="V118" s="687"/>
      <c r="W118" s="687"/>
      <c r="X118" s="687"/>
      <c r="Y118" s="687"/>
      <c r="Z118" s="687"/>
      <c r="AA118" s="687"/>
      <c r="AB118" s="687"/>
    </row>
    <row r="119" spans="2:28" x14ac:dyDescent="0.35">
      <c r="B119" s="687"/>
      <c r="C119" s="687"/>
      <c r="D119" s="171"/>
      <c r="E119" s="171"/>
      <c r="F119" s="171"/>
      <c r="G119" s="171"/>
      <c r="H119" s="173"/>
      <c r="I119" s="457"/>
      <c r="J119" s="687"/>
      <c r="K119" s="687"/>
      <c r="L119" s="687"/>
      <c r="M119" s="687"/>
      <c r="N119" s="687"/>
      <c r="O119" s="687"/>
      <c r="P119" s="687"/>
      <c r="Q119" s="687"/>
      <c r="R119" s="687"/>
      <c r="S119" s="687"/>
      <c r="T119" s="687"/>
      <c r="U119" s="687"/>
      <c r="V119" s="687"/>
      <c r="W119" s="687"/>
      <c r="X119" s="687"/>
      <c r="Y119" s="687"/>
      <c r="Z119" s="687"/>
      <c r="AA119" s="687"/>
      <c r="AB119" s="687"/>
    </row>
    <row r="120" spans="2:28" x14ac:dyDescent="0.35">
      <c r="B120" s="687"/>
      <c r="C120" s="687"/>
      <c r="D120" s="171"/>
      <c r="E120" s="171"/>
      <c r="F120" s="171"/>
      <c r="G120" s="171"/>
      <c r="H120" s="173"/>
      <c r="I120" s="457"/>
      <c r="J120" s="687"/>
      <c r="K120" s="687"/>
      <c r="L120" s="687"/>
      <c r="M120" s="687"/>
      <c r="N120" s="687"/>
      <c r="O120" s="687"/>
      <c r="P120" s="687"/>
      <c r="Q120" s="687"/>
      <c r="R120" s="687"/>
      <c r="S120" s="687"/>
      <c r="T120" s="687"/>
      <c r="U120" s="687"/>
      <c r="V120" s="687"/>
      <c r="W120" s="687"/>
      <c r="X120" s="687"/>
      <c r="Y120" s="687"/>
      <c r="Z120" s="687"/>
      <c r="AA120" s="687"/>
      <c r="AB120" s="687"/>
    </row>
    <row r="121" spans="2:28" x14ac:dyDescent="0.35">
      <c r="B121" s="687"/>
      <c r="C121" s="687"/>
      <c r="D121" s="171"/>
      <c r="E121" s="171"/>
      <c r="F121" s="171"/>
      <c r="G121" s="171"/>
      <c r="H121" s="173"/>
      <c r="I121" s="457"/>
      <c r="J121" s="687"/>
      <c r="K121" s="687"/>
      <c r="L121" s="687"/>
      <c r="M121" s="687"/>
      <c r="N121" s="687"/>
      <c r="O121" s="687"/>
      <c r="P121" s="687"/>
      <c r="Q121" s="687"/>
      <c r="R121" s="687"/>
      <c r="S121" s="687"/>
      <c r="T121" s="687"/>
      <c r="U121" s="687"/>
      <c r="V121" s="687"/>
      <c r="W121" s="687"/>
      <c r="X121" s="687"/>
      <c r="Y121" s="687"/>
      <c r="Z121" s="687"/>
      <c r="AA121" s="687"/>
      <c r="AB121" s="687"/>
    </row>
    <row r="122" spans="2:28" x14ac:dyDescent="0.35">
      <c r="B122" s="687"/>
      <c r="C122" s="687"/>
      <c r="D122" s="171"/>
      <c r="E122" s="171"/>
      <c r="F122" s="171"/>
      <c r="G122" s="171"/>
      <c r="H122" s="173"/>
      <c r="I122" s="457"/>
      <c r="J122" s="687"/>
      <c r="K122" s="687"/>
      <c r="L122" s="687"/>
      <c r="M122" s="687"/>
      <c r="N122" s="687"/>
      <c r="O122" s="687"/>
      <c r="P122" s="687"/>
      <c r="Q122" s="687"/>
      <c r="R122" s="687"/>
      <c r="S122" s="687"/>
      <c r="T122" s="687"/>
      <c r="U122" s="687"/>
      <c r="V122" s="687"/>
      <c r="W122" s="687"/>
      <c r="X122" s="687"/>
      <c r="Y122" s="687"/>
      <c r="Z122" s="687"/>
      <c r="AA122" s="687"/>
      <c r="AB122" s="687"/>
    </row>
    <row r="123" spans="2:28" x14ac:dyDescent="0.35">
      <c r="B123" s="687"/>
      <c r="C123" s="687"/>
      <c r="D123" s="171"/>
      <c r="E123" s="171"/>
      <c r="F123" s="171"/>
      <c r="G123" s="171"/>
      <c r="H123" s="173"/>
      <c r="I123" s="457"/>
      <c r="J123" s="687"/>
      <c r="K123" s="687"/>
      <c r="L123" s="687"/>
      <c r="M123" s="687"/>
      <c r="N123" s="687"/>
      <c r="O123" s="687"/>
      <c r="P123" s="687"/>
      <c r="Q123" s="687"/>
      <c r="R123" s="687"/>
      <c r="S123" s="687"/>
      <c r="T123" s="687"/>
      <c r="U123" s="687"/>
      <c r="V123" s="687"/>
      <c r="W123" s="687"/>
      <c r="X123" s="687"/>
      <c r="Y123" s="687"/>
      <c r="Z123" s="687"/>
      <c r="AA123" s="687"/>
      <c r="AB123" s="687"/>
    </row>
    <row r="124" spans="2:28" x14ac:dyDescent="0.35">
      <c r="B124" s="687"/>
      <c r="C124" s="687"/>
      <c r="D124" s="171"/>
      <c r="E124" s="171"/>
      <c r="F124" s="171"/>
      <c r="G124" s="171"/>
      <c r="H124" s="173"/>
      <c r="I124" s="457"/>
      <c r="J124" s="687"/>
      <c r="K124" s="687"/>
      <c r="L124" s="687"/>
      <c r="M124" s="687"/>
      <c r="N124" s="687"/>
      <c r="O124" s="687"/>
      <c r="P124" s="687"/>
      <c r="Q124" s="687"/>
      <c r="R124" s="687"/>
      <c r="S124" s="687"/>
      <c r="T124" s="687"/>
      <c r="U124" s="687"/>
      <c r="V124" s="687"/>
      <c r="W124" s="687"/>
      <c r="X124" s="687"/>
      <c r="Y124" s="687"/>
      <c r="Z124" s="687"/>
      <c r="AA124" s="687"/>
      <c r="AB124" s="687"/>
    </row>
    <row r="125" spans="2:28" x14ac:dyDescent="0.35">
      <c r="B125" s="687"/>
      <c r="C125" s="687"/>
      <c r="D125" s="171"/>
      <c r="E125" s="171"/>
      <c r="F125" s="171"/>
      <c r="G125" s="171"/>
      <c r="H125" s="173"/>
      <c r="I125" s="457"/>
      <c r="J125" s="687"/>
      <c r="K125" s="687"/>
      <c r="L125" s="687"/>
      <c r="M125" s="687"/>
      <c r="N125" s="687"/>
      <c r="O125" s="687"/>
      <c r="P125" s="687"/>
      <c r="Q125" s="687"/>
      <c r="R125" s="687"/>
      <c r="S125" s="687"/>
      <c r="T125" s="687"/>
      <c r="U125" s="687"/>
      <c r="V125" s="687"/>
      <c r="W125" s="687"/>
      <c r="X125" s="687"/>
      <c r="Y125" s="687"/>
      <c r="Z125" s="687"/>
      <c r="AA125" s="687"/>
      <c r="AB125" s="687"/>
    </row>
    <row r="126" spans="2:28" x14ac:dyDescent="0.35">
      <c r="B126" s="687"/>
      <c r="C126" s="687"/>
      <c r="D126" s="171"/>
      <c r="E126" s="171"/>
      <c r="F126" s="171"/>
      <c r="G126" s="171"/>
      <c r="H126" s="173"/>
      <c r="I126" s="457"/>
      <c r="J126" s="687"/>
      <c r="K126" s="687"/>
      <c r="L126" s="687"/>
      <c r="M126" s="687"/>
      <c r="N126" s="687"/>
      <c r="O126" s="687"/>
      <c r="P126" s="687"/>
      <c r="Q126" s="687"/>
      <c r="R126" s="687"/>
      <c r="S126" s="687"/>
      <c r="T126" s="687"/>
      <c r="U126" s="687"/>
      <c r="V126" s="687"/>
      <c r="W126" s="687"/>
      <c r="X126" s="687"/>
      <c r="Y126" s="687"/>
      <c r="Z126" s="687"/>
      <c r="AA126" s="687"/>
      <c r="AB126" s="687"/>
    </row>
    <row r="127" spans="2:28" x14ac:dyDescent="0.35">
      <c r="B127" s="687"/>
      <c r="C127" s="687"/>
      <c r="D127" s="171"/>
      <c r="E127" s="171"/>
      <c r="F127" s="171"/>
      <c r="G127" s="171"/>
      <c r="H127" s="173"/>
      <c r="I127" s="457"/>
      <c r="J127" s="687"/>
      <c r="K127" s="687"/>
      <c r="L127" s="687"/>
      <c r="M127" s="687"/>
      <c r="N127" s="687"/>
      <c r="O127" s="687"/>
      <c r="P127" s="687"/>
      <c r="Q127" s="687"/>
      <c r="R127" s="687"/>
      <c r="S127" s="687"/>
      <c r="T127" s="687"/>
      <c r="U127" s="687"/>
      <c r="V127" s="687"/>
      <c r="W127" s="687"/>
      <c r="X127" s="687"/>
      <c r="Y127" s="687"/>
      <c r="Z127" s="687"/>
      <c r="AA127" s="687"/>
      <c r="AB127" s="687"/>
    </row>
    <row r="128" spans="2:28" x14ac:dyDescent="0.35">
      <c r="B128" s="687"/>
      <c r="C128" s="687"/>
      <c r="D128" s="171"/>
      <c r="E128" s="171"/>
      <c r="F128" s="171"/>
      <c r="G128" s="171"/>
      <c r="H128" s="173"/>
      <c r="I128" s="457"/>
      <c r="J128" s="687"/>
      <c r="K128" s="687"/>
      <c r="L128" s="687"/>
      <c r="M128" s="687"/>
      <c r="N128" s="687"/>
      <c r="O128" s="687"/>
      <c r="P128" s="687"/>
      <c r="Q128" s="687"/>
      <c r="R128" s="687"/>
      <c r="S128" s="687"/>
      <c r="T128" s="687"/>
      <c r="U128" s="687"/>
      <c r="V128" s="687"/>
      <c r="W128" s="687"/>
      <c r="X128" s="687"/>
      <c r="Y128" s="687"/>
      <c r="Z128" s="687"/>
      <c r="AA128" s="687"/>
      <c r="AB128" s="687"/>
    </row>
    <row r="129" spans="2:28" x14ac:dyDescent="0.35">
      <c r="B129" s="687"/>
      <c r="C129" s="687"/>
      <c r="D129" s="171"/>
      <c r="E129" s="171"/>
      <c r="F129" s="171"/>
      <c r="G129" s="171"/>
      <c r="H129" s="173"/>
      <c r="I129" s="457"/>
      <c r="J129" s="687"/>
      <c r="K129" s="687"/>
      <c r="L129" s="687"/>
      <c r="M129" s="687"/>
      <c r="N129" s="687"/>
      <c r="O129" s="687"/>
      <c r="P129" s="687"/>
      <c r="Q129" s="687"/>
      <c r="R129" s="687"/>
      <c r="S129" s="687"/>
      <c r="T129" s="687"/>
      <c r="U129" s="687"/>
      <c r="V129" s="687"/>
      <c r="W129" s="687"/>
      <c r="X129" s="687"/>
      <c r="Y129" s="687"/>
      <c r="Z129" s="687"/>
      <c r="AA129" s="687"/>
      <c r="AB129" s="687"/>
    </row>
    <row r="130" spans="2:28" x14ac:dyDescent="0.35">
      <c r="B130" s="687"/>
      <c r="C130" s="687"/>
      <c r="D130" s="171"/>
      <c r="E130" s="171"/>
      <c r="F130" s="171"/>
      <c r="G130" s="171"/>
      <c r="H130" s="173"/>
      <c r="I130" s="457"/>
      <c r="J130" s="687"/>
      <c r="K130" s="687"/>
      <c r="L130" s="687"/>
      <c r="M130" s="687"/>
      <c r="N130" s="687"/>
      <c r="O130" s="687"/>
      <c r="P130" s="687"/>
      <c r="Q130" s="687"/>
      <c r="R130" s="687"/>
      <c r="S130" s="687"/>
      <c r="T130" s="687"/>
      <c r="U130" s="687"/>
      <c r="V130" s="687"/>
      <c r="W130" s="687"/>
      <c r="X130" s="687"/>
      <c r="Y130" s="687"/>
      <c r="Z130" s="687"/>
      <c r="AA130" s="687"/>
      <c r="AB130" s="687"/>
    </row>
    <row r="131" spans="2:28" x14ac:dyDescent="0.35">
      <c r="B131" s="687"/>
      <c r="C131" s="687"/>
      <c r="D131" s="171"/>
      <c r="E131" s="171"/>
      <c r="F131" s="171"/>
      <c r="G131" s="171"/>
      <c r="H131" s="173"/>
      <c r="I131" s="457"/>
      <c r="J131" s="687"/>
      <c r="K131" s="687"/>
      <c r="L131" s="687"/>
      <c r="M131" s="687"/>
      <c r="N131" s="687"/>
      <c r="O131" s="687"/>
      <c r="P131" s="687"/>
      <c r="Q131" s="687"/>
      <c r="R131" s="687"/>
      <c r="S131" s="687"/>
      <c r="T131" s="687"/>
      <c r="U131" s="687"/>
      <c r="V131" s="687"/>
      <c r="W131" s="687"/>
      <c r="X131" s="687"/>
      <c r="Y131" s="687"/>
      <c r="Z131" s="687"/>
      <c r="AA131" s="687"/>
      <c r="AB131" s="687"/>
    </row>
    <row r="132" spans="2:28" x14ac:dyDescent="0.35">
      <c r="B132" s="687"/>
      <c r="C132" s="687"/>
      <c r="D132" s="171"/>
      <c r="E132" s="171"/>
      <c r="F132" s="171"/>
      <c r="G132" s="171"/>
      <c r="H132" s="173"/>
      <c r="I132" s="457"/>
      <c r="J132" s="687"/>
      <c r="K132" s="687"/>
      <c r="L132" s="687"/>
      <c r="M132" s="687"/>
      <c r="N132" s="687"/>
      <c r="O132" s="687"/>
      <c r="P132" s="687"/>
      <c r="Q132" s="687"/>
      <c r="R132" s="687"/>
      <c r="S132" s="687"/>
      <c r="T132" s="687"/>
      <c r="U132" s="687"/>
      <c r="V132" s="687"/>
      <c r="W132" s="687"/>
      <c r="X132" s="687"/>
      <c r="Y132" s="687"/>
      <c r="Z132" s="687"/>
      <c r="AA132" s="687"/>
      <c r="AB132" s="687"/>
    </row>
    <row r="133" spans="2:28" x14ac:dyDescent="0.35">
      <c r="B133" s="687"/>
      <c r="C133" s="687"/>
      <c r="D133" s="171"/>
      <c r="E133" s="171"/>
      <c r="F133" s="171"/>
      <c r="G133" s="171"/>
      <c r="H133" s="173"/>
      <c r="I133" s="457"/>
      <c r="J133" s="687"/>
      <c r="K133" s="687"/>
      <c r="L133" s="687"/>
      <c r="M133" s="687"/>
      <c r="N133" s="687"/>
      <c r="O133" s="687"/>
      <c r="P133" s="687"/>
      <c r="Q133" s="687"/>
      <c r="R133" s="687"/>
      <c r="S133" s="687"/>
      <c r="T133" s="687"/>
      <c r="U133" s="687"/>
      <c r="V133" s="687"/>
      <c r="W133" s="687"/>
      <c r="X133" s="687"/>
      <c r="Y133" s="687"/>
      <c r="Z133" s="687"/>
      <c r="AA133" s="687"/>
      <c r="AB133" s="687"/>
    </row>
    <row r="134" spans="2:28" x14ac:dyDescent="0.35">
      <c r="B134" s="687"/>
      <c r="C134" s="687"/>
      <c r="D134" s="171"/>
      <c r="E134" s="171"/>
      <c r="F134" s="171"/>
      <c r="G134" s="171"/>
      <c r="H134" s="173"/>
      <c r="I134" s="457"/>
      <c r="J134" s="687"/>
      <c r="K134" s="687"/>
      <c r="L134" s="687"/>
      <c r="M134" s="687"/>
      <c r="N134" s="687"/>
      <c r="O134" s="687"/>
      <c r="P134" s="687"/>
      <c r="Q134" s="687"/>
      <c r="R134" s="687"/>
      <c r="S134" s="687"/>
      <c r="T134" s="687"/>
      <c r="U134" s="687"/>
      <c r="V134" s="687"/>
      <c r="W134" s="687"/>
      <c r="X134" s="687"/>
      <c r="Y134" s="687"/>
      <c r="Z134" s="687"/>
      <c r="AA134" s="687"/>
      <c r="AB134" s="687"/>
    </row>
    <row r="135" spans="2:28" x14ac:dyDescent="0.35">
      <c r="B135" s="687"/>
      <c r="C135" s="687"/>
      <c r="D135" s="171"/>
      <c r="E135" s="171"/>
      <c r="F135" s="171"/>
      <c r="G135" s="171"/>
      <c r="H135" s="173"/>
      <c r="I135" s="457"/>
      <c r="J135" s="687"/>
      <c r="K135" s="687"/>
      <c r="L135" s="687"/>
      <c r="M135" s="687"/>
      <c r="N135" s="687"/>
      <c r="O135" s="687"/>
      <c r="P135" s="687"/>
      <c r="Q135" s="687"/>
      <c r="R135" s="687"/>
      <c r="S135" s="687"/>
      <c r="T135" s="687"/>
      <c r="U135" s="687"/>
      <c r="V135" s="687"/>
      <c r="W135" s="687"/>
      <c r="X135" s="687"/>
      <c r="Y135" s="687"/>
      <c r="Z135" s="687"/>
      <c r="AA135" s="687"/>
      <c r="AB135" s="687"/>
    </row>
    <row r="136" spans="2:28" x14ac:dyDescent="0.35">
      <c r="B136" s="687"/>
      <c r="C136" s="687"/>
      <c r="D136" s="171"/>
      <c r="E136" s="171"/>
      <c r="F136" s="171"/>
      <c r="G136" s="171"/>
      <c r="H136" s="173"/>
      <c r="I136" s="457"/>
      <c r="J136" s="687"/>
      <c r="K136" s="687"/>
      <c r="L136" s="687"/>
      <c r="M136" s="687"/>
      <c r="N136" s="687"/>
      <c r="O136" s="687"/>
      <c r="P136" s="687"/>
      <c r="Q136" s="687"/>
      <c r="R136" s="687"/>
      <c r="S136" s="687"/>
      <c r="T136" s="687"/>
      <c r="U136" s="687"/>
      <c r="V136" s="687"/>
      <c r="W136" s="687"/>
      <c r="X136" s="687"/>
      <c r="Y136" s="687"/>
      <c r="Z136" s="687"/>
      <c r="AA136" s="687"/>
      <c r="AB136" s="687"/>
    </row>
    <row r="137" spans="2:28" x14ac:dyDescent="0.35">
      <c r="B137" s="687"/>
      <c r="C137" s="687"/>
      <c r="D137" s="171"/>
      <c r="E137" s="171"/>
      <c r="F137" s="171"/>
      <c r="G137" s="171"/>
      <c r="H137" s="173"/>
      <c r="I137" s="457"/>
      <c r="J137" s="687"/>
      <c r="K137" s="687"/>
      <c r="L137" s="687"/>
      <c r="M137" s="687"/>
      <c r="N137" s="687"/>
      <c r="O137" s="687"/>
      <c r="P137" s="687"/>
      <c r="Q137" s="687"/>
      <c r="R137" s="687"/>
      <c r="S137" s="687"/>
      <c r="T137" s="687"/>
      <c r="U137" s="687"/>
      <c r="V137" s="687"/>
      <c r="W137" s="687"/>
      <c r="X137" s="687"/>
      <c r="Y137" s="687"/>
      <c r="Z137" s="687"/>
      <c r="AA137" s="687"/>
      <c r="AB137" s="687"/>
    </row>
    <row r="138" spans="2:28" x14ac:dyDescent="0.35">
      <c r="B138" s="687"/>
      <c r="C138" s="687"/>
      <c r="D138" s="171"/>
      <c r="E138" s="171"/>
      <c r="F138" s="171"/>
      <c r="G138" s="171"/>
      <c r="H138" s="173"/>
      <c r="I138" s="457"/>
      <c r="J138" s="687"/>
      <c r="K138" s="687"/>
      <c r="L138" s="687"/>
      <c r="M138" s="687"/>
      <c r="N138" s="687"/>
      <c r="O138" s="687"/>
      <c r="P138" s="687"/>
      <c r="Q138" s="687"/>
      <c r="R138" s="687"/>
      <c r="S138" s="687"/>
      <c r="T138" s="687"/>
      <c r="U138" s="687"/>
      <c r="V138" s="687"/>
      <c r="W138" s="687"/>
      <c r="X138" s="687"/>
      <c r="Y138" s="687"/>
      <c r="Z138" s="687"/>
      <c r="AA138" s="687"/>
      <c r="AB138" s="687"/>
    </row>
    <row r="139" spans="2:28" x14ac:dyDescent="0.35">
      <c r="B139" s="687"/>
      <c r="C139" s="687"/>
      <c r="D139" s="171"/>
      <c r="E139" s="171"/>
      <c r="F139" s="171"/>
      <c r="G139" s="171"/>
      <c r="H139" s="173"/>
      <c r="I139" s="457"/>
      <c r="J139" s="687"/>
      <c r="K139" s="687"/>
      <c r="L139" s="687"/>
      <c r="M139" s="687"/>
      <c r="N139" s="687"/>
      <c r="O139" s="687"/>
      <c r="P139" s="687"/>
      <c r="Q139" s="687"/>
      <c r="R139" s="687"/>
      <c r="S139" s="687"/>
      <c r="T139" s="687"/>
      <c r="U139" s="687"/>
      <c r="V139" s="687"/>
      <c r="W139" s="687"/>
      <c r="X139" s="687"/>
      <c r="Y139" s="687"/>
      <c r="Z139" s="687"/>
      <c r="AA139" s="687"/>
      <c r="AB139" s="687"/>
    </row>
    <row r="140" spans="2:28" x14ac:dyDescent="0.35">
      <c r="B140" s="687"/>
      <c r="C140" s="687"/>
      <c r="D140" s="171"/>
      <c r="E140" s="171"/>
      <c r="F140" s="171"/>
      <c r="G140" s="171"/>
      <c r="H140" s="173"/>
      <c r="I140" s="457"/>
      <c r="J140" s="687"/>
      <c r="K140" s="687"/>
      <c r="L140" s="687"/>
      <c r="M140" s="687"/>
      <c r="N140" s="687"/>
      <c r="O140" s="687"/>
      <c r="P140" s="687"/>
      <c r="Q140" s="687"/>
      <c r="R140" s="687"/>
      <c r="S140" s="687"/>
      <c r="T140" s="687"/>
      <c r="U140" s="687"/>
      <c r="V140" s="687"/>
      <c r="W140" s="687"/>
      <c r="X140" s="687"/>
      <c r="Y140" s="687"/>
      <c r="Z140" s="687"/>
      <c r="AA140" s="687"/>
      <c r="AB140" s="687"/>
    </row>
    <row r="141" spans="2:28" x14ac:dyDescent="0.35">
      <c r="B141" s="687"/>
      <c r="C141" s="687"/>
      <c r="D141" s="171"/>
      <c r="E141" s="171"/>
      <c r="F141" s="171"/>
      <c r="G141" s="171"/>
      <c r="H141" s="173"/>
      <c r="I141" s="457"/>
      <c r="J141" s="687"/>
      <c r="K141" s="687"/>
      <c r="L141" s="687"/>
      <c r="M141" s="687"/>
      <c r="N141" s="687"/>
      <c r="O141" s="687"/>
      <c r="P141" s="687"/>
      <c r="Q141" s="687"/>
      <c r="R141" s="687"/>
      <c r="S141" s="687"/>
      <c r="T141" s="687"/>
      <c r="U141" s="687"/>
      <c r="V141" s="687"/>
      <c r="W141" s="687"/>
      <c r="X141" s="687"/>
      <c r="Y141" s="687"/>
      <c r="Z141" s="687"/>
      <c r="AA141" s="687"/>
      <c r="AB141" s="687"/>
    </row>
    <row r="142" spans="2:28" x14ac:dyDescent="0.35">
      <c r="B142" s="687"/>
      <c r="C142" s="687"/>
      <c r="D142" s="171"/>
      <c r="E142" s="171"/>
      <c r="F142" s="171"/>
      <c r="G142" s="171"/>
      <c r="H142" s="173"/>
      <c r="I142" s="457"/>
      <c r="J142" s="687"/>
      <c r="K142" s="687"/>
      <c r="L142" s="687"/>
      <c r="M142" s="687"/>
      <c r="N142" s="687"/>
      <c r="O142" s="687"/>
      <c r="P142" s="687"/>
      <c r="Q142" s="687"/>
      <c r="R142" s="687"/>
      <c r="S142" s="687"/>
      <c r="T142" s="687"/>
      <c r="U142" s="687"/>
      <c r="V142" s="687"/>
      <c r="W142" s="687"/>
      <c r="X142" s="687"/>
      <c r="Y142" s="687"/>
      <c r="Z142" s="687"/>
      <c r="AA142" s="687"/>
      <c r="AB142" s="687"/>
    </row>
    <row r="143" spans="2:28" x14ac:dyDescent="0.35">
      <c r="B143" s="687"/>
      <c r="C143" s="687"/>
      <c r="D143" s="171"/>
      <c r="E143" s="171"/>
      <c r="F143" s="171"/>
      <c r="G143" s="171"/>
      <c r="H143" s="173"/>
      <c r="I143" s="457"/>
      <c r="J143" s="687"/>
      <c r="K143" s="687"/>
      <c r="L143" s="687"/>
      <c r="M143" s="687"/>
      <c r="N143" s="687"/>
      <c r="O143" s="687"/>
      <c r="P143" s="687"/>
      <c r="Q143" s="687"/>
      <c r="R143" s="687"/>
      <c r="S143" s="687"/>
      <c r="T143" s="687"/>
      <c r="U143" s="687"/>
      <c r="V143" s="687"/>
      <c r="W143" s="687"/>
      <c r="X143" s="687"/>
      <c r="Y143" s="687"/>
      <c r="Z143" s="687"/>
      <c r="AA143" s="687"/>
      <c r="AB143" s="687"/>
    </row>
    <row r="144" spans="2:28" x14ac:dyDescent="0.35">
      <c r="B144" s="687"/>
      <c r="C144" s="687"/>
      <c r="D144" s="171"/>
      <c r="E144" s="171"/>
      <c r="F144" s="171"/>
      <c r="G144" s="171"/>
      <c r="H144" s="173"/>
      <c r="I144" s="457"/>
      <c r="J144" s="687"/>
      <c r="K144" s="687"/>
      <c r="L144" s="687"/>
      <c r="M144" s="687"/>
      <c r="N144" s="687"/>
      <c r="O144" s="687"/>
      <c r="P144" s="687"/>
      <c r="Q144" s="687"/>
      <c r="R144" s="687"/>
      <c r="S144" s="687"/>
      <c r="T144" s="687"/>
      <c r="U144" s="687"/>
      <c r="V144" s="687"/>
      <c r="W144" s="687"/>
      <c r="X144" s="687"/>
      <c r="Y144" s="687"/>
      <c r="Z144" s="687"/>
      <c r="AA144" s="687"/>
      <c r="AB144" s="687"/>
    </row>
    <row r="145" spans="2:28" x14ac:dyDescent="0.35">
      <c r="B145" s="687"/>
      <c r="C145" s="687"/>
      <c r="D145" s="171"/>
      <c r="E145" s="171"/>
      <c r="F145" s="171"/>
      <c r="G145" s="171"/>
      <c r="H145" s="173"/>
      <c r="I145" s="457"/>
      <c r="J145" s="687"/>
      <c r="K145" s="687"/>
      <c r="L145" s="687"/>
      <c r="M145" s="687"/>
      <c r="N145" s="687"/>
      <c r="O145" s="687"/>
      <c r="P145" s="687"/>
      <c r="Q145" s="687"/>
      <c r="R145" s="687"/>
      <c r="S145" s="687"/>
      <c r="T145" s="687"/>
      <c r="U145" s="687"/>
      <c r="V145" s="687"/>
      <c r="W145" s="687"/>
      <c r="X145" s="687"/>
      <c r="Y145" s="687"/>
      <c r="Z145" s="687"/>
      <c r="AA145" s="687"/>
      <c r="AB145" s="687"/>
    </row>
    <row r="146" spans="2:28" x14ac:dyDescent="0.35">
      <c r="B146" s="687"/>
      <c r="C146" s="687"/>
      <c r="D146" s="171"/>
      <c r="E146" s="171"/>
      <c r="F146" s="171"/>
      <c r="G146" s="171"/>
      <c r="H146" s="173"/>
      <c r="I146" s="457"/>
      <c r="J146" s="687"/>
      <c r="K146" s="687"/>
      <c r="L146" s="687"/>
      <c r="M146" s="687"/>
      <c r="N146" s="687"/>
      <c r="O146" s="687"/>
      <c r="P146" s="687"/>
      <c r="Q146" s="687"/>
      <c r="R146" s="687"/>
      <c r="S146" s="687"/>
      <c r="T146" s="687"/>
      <c r="U146" s="687"/>
      <c r="V146" s="687"/>
      <c r="W146" s="687"/>
      <c r="X146" s="687"/>
      <c r="Y146" s="687"/>
      <c r="Z146" s="687"/>
      <c r="AA146" s="687"/>
      <c r="AB146" s="687"/>
    </row>
    <row r="147" spans="2:28" x14ac:dyDescent="0.35">
      <c r="B147" s="687"/>
      <c r="C147" s="687"/>
      <c r="D147" s="171"/>
      <c r="E147" s="171"/>
      <c r="F147" s="171"/>
      <c r="G147" s="171"/>
      <c r="H147" s="173"/>
      <c r="I147" s="457"/>
      <c r="J147" s="687"/>
      <c r="K147" s="687"/>
      <c r="L147" s="687"/>
      <c r="M147" s="687"/>
      <c r="N147" s="687"/>
      <c r="O147" s="687"/>
      <c r="P147" s="687"/>
      <c r="Q147" s="687"/>
      <c r="R147" s="687"/>
      <c r="S147" s="687"/>
      <c r="T147" s="687"/>
      <c r="U147" s="687"/>
      <c r="V147" s="687"/>
      <c r="W147" s="687"/>
      <c r="X147" s="687"/>
      <c r="Y147" s="687"/>
      <c r="Z147" s="687"/>
      <c r="AA147" s="687"/>
      <c r="AB147" s="687"/>
    </row>
    <row r="148" spans="2:28" x14ac:dyDescent="0.35">
      <c r="B148" s="687"/>
      <c r="C148" s="687"/>
      <c r="D148" s="171"/>
      <c r="E148" s="171"/>
      <c r="F148" s="171"/>
      <c r="G148" s="171"/>
      <c r="H148" s="173"/>
      <c r="I148" s="457"/>
      <c r="J148" s="687"/>
      <c r="K148" s="687"/>
      <c r="L148" s="687"/>
      <c r="M148" s="687"/>
      <c r="N148" s="687"/>
      <c r="O148" s="687"/>
      <c r="P148" s="687"/>
      <c r="Q148" s="687"/>
      <c r="R148" s="687"/>
      <c r="S148" s="687"/>
      <c r="T148" s="687"/>
      <c r="U148" s="687"/>
      <c r="V148" s="687"/>
      <c r="W148" s="687"/>
      <c r="X148" s="687"/>
      <c r="Y148" s="687"/>
      <c r="Z148" s="687"/>
      <c r="AA148" s="687"/>
      <c r="AB148" s="687"/>
    </row>
    <row r="149" spans="2:28" x14ac:dyDescent="0.35">
      <c r="B149" s="687"/>
      <c r="C149" s="687"/>
      <c r="D149" s="171"/>
      <c r="E149" s="171"/>
      <c r="F149" s="171"/>
      <c r="G149" s="171"/>
      <c r="H149" s="173"/>
      <c r="I149" s="457"/>
      <c r="J149" s="687"/>
      <c r="K149" s="687"/>
      <c r="L149" s="687"/>
      <c r="M149" s="687"/>
      <c r="N149" s="687"/>
      <c r="O149" s="687"/>
      <c r="P149" s="687"/>
      <c r="Q149" s="687"/>
      <c r="R149" s="687"/>
      <c r="S149" s="687"/>
      <c r="T149" s="687"/>
      <c r="U149" s="687"/>
      <c r="V149" s="687"/>
      <c r="W149" s="687"/>
      <c r="X149" s="687"/>
      <c r="Y149" s="687"/>
      <c r="Z149" s="687"/>
      <c r="AA149" s="687"/>
      <c r="AB149" s="687"/>
    </row>
    <row r="150" spans="2:28" x14ac:dyDescent="0.35">
      <c r="B150" s="687"/>
      <c r="C150" s="687"/>
      <c r="D150" s="171"/>
      <c r="E150" s="171"/>
      <c r="F150" s="171"/>
      <c r="G150" s="171"/>
      <c r="H150" s="173"/>
      <c r="I150" s="457"/>
      <c r="J150" s="687"/>
      <c r="K150" s="687"/>
      <c r="L150" s="687"/>
      <c r="M150" s="687"/>
      <c r="N150" s="687"/>
      <c r="O150" s="687"/>
      <c r="P150" s="687"/>
      <c r="Q150" s="687"/>
      <c r="R150" s="687"/>
      <c r="S150" s="687"/>
      <c r="T150" s="687"/>
      <c r="U150" s="687"/>
      <c r="V150" s="687"/>
      <c r="W150" s="687"/>
      <c r="X150" s="687"/>
      <c r="Y150" s="687"/>
      <c r="Z150" s="687"/>
      <c r="AA150" s="687"/>
      <c r="AB150" s="687"/>
    </row>
    <row r="151" spans="2:28" x14ac:dyDescent="0.35">
      <c r="B151" s="687"/>
      <c r="C151" s="687"/>
      <c r="D151" s="171"/>
      <c r="E151" s="171"/>
      <c r="F151" s="171"/>
      <c r="G151" s="171"/>
      <c r="H151" s="173"/>
      <c r="I151" s="457"/>
      <c r="J151" s="687"/>
      <c r="K151" s="687"/>
      <c r="L151" s="687"/>
      <c r="M151" s="687"/>
      <c r="N151" s="687"/>
      <c r="O151" s="687"/>
      <c r="P151" s="687"/>
      <c r="Q151" s="687"/>
      <c r="R151" s="687"/>
      <c r="S151" s="687"/>
      <c r="T151" s="687"/>
      <c r="U151" s="687"/>
      <c r="V151" s="687"/>
      <c r="W151" s="687"/>
      <c r="X151" s="687"/>
      <c r="Y151" s="687"/>
      <c r="Z151" s="687"/>
      <c r="AA151" s="687"/>
      <c r="AB151" s="687"/>
    </row>
    <row r="152" spans="2:28" x14ac:dyDescent="0.35">
      <c r="B152" s="687"/>
      <c r="C152" s="687"/>
      <c r="D152" s="171"/>
      <c r="E152" s="171"/>
      <c r="F152" s="171"/>
      <c r="G152" s="171"/>
      <c r="H152" s="173"/>
      <c r="I152" s="457"/>
      <c r="J152" s="687"/>
      <c r="K152" s="687"/>
      <c r="L152" s="687"/>
      <c r="M152" s="687"/>
      <c r="N152" s="687"/>
      <c r="O152" s="687"/>
      <c r="P152" s="687"/>
      <c r="Q152" s="687"/>
      <c r="R152" s="687"/>
      <c r="S152" s="687"/>
      <c r="T152" s="687"/>
      <c r="U152" s="687"/>
      <c r="V152" s="687"/>
      <c r="W152" s="687"/>
      <c r="X152" s="687"/>
      <c r="Y152" s="687"/>
      <c r="Z152" s="687"/>
      <c r="AA152" s="687"/>
      <c r="AB152" s="687"/>
    </row>
    <row r="153" spans="2:28" x14ac:dyDescent="0.35">
      <c r="B153" s="687"/>
      <c r="C153" s="687"/>
      <c r="D153" s="171"/>
      <c r="E153" s="171"/>
      <c r="F153" s="171"/>
      <c r="G153" s="171"/>
      <c r="H153" s="173"/>
      <c r="I153" s="457"/>
      <c r="J153" s="687"/>
      <c r="K153" s="687"/>
      <c r="L153" s="687"/>
      <c r="M153" s="687"/>
      <c r="N153" s="687"/>
      <c r="O153" s="687"/>
      <c r="P153" s="687"/>
      <c r="Q153" s="687"/>
      <c r="R153" s="687"/>
      <c r="S153" s="687"/>
      <c r="T153" s="687"/>
      <c r="U153" s="687"/>
      <c r="V153" s="687"/>
      <c r="W153" s="687"/>
      <c r="X153" s="687"/>
      <c r="Y153" s="687"/>
      <c r="Z153" s="687"/>
      <c r="AA153" s="687"/>
      <c r="AB153" s="687"/>
    </row>
    <row r="154" spans="2:28" x14ac:dyDescent="0.35">
      <c r="B154" s="687"/>
      <c r="C154" s="687"/>
      <c r="D154" s="171"/>
      <c r="E154" s="171"/>
      <c r="F154" s="171"/>
      <c r="G154" s="171"/>
      <c r="H154" s="173"/>
      <c r="I154" s="457"/>
      <c r="J154" s="687"/>
      <c r="K154" s="687"/>
      <c r="L154" s="687"/>
      <c r="M154" s="687"/>
      <c r="N154" s="687"/>
      <c r="O154" s="687"/>
      <c r="P154" s="687"/>
      <c r="Q154" s="687"/>
      <c r="R154" s="687"/>
      <c r="S154" s="687"/>
      <c r="T154" s="687"/>
      <c r="U154" s="687"/>
      <c r="V154" s="687"/>
      <c r="W154" s="687"/>
      <c r="X154" s="687"/>
      <c r="Y154" s="687"/>
      <c r="Z154" s="687"/>
      <c r="AA154" s="687"/>
      <c r="AB154" s="687"/>
    </row>
    <row r="155" spans="2:28" x14ac:dyDescent="0.35">
      <c r="B155" s="687"/>
      <c r="C155" s="687"/>
      <c r="D155" s="171"/>
      <c r="E155" s="171"/>
      <c r="F155" s="171"/>
      <c r="G155" s="171"/>
      <c r="H155" s="173"/>
      <c r="I155" s="457"/>
      <c r="J155" s="687"/>
      <c r="K155" s="687"/>
      <c r="L155" s="687"/>
      <c r="M155" s="687"/>
      <c r="N155" s="687"/>
      <c r="O155" s="687"/>
      <c r="P155" s="687"/>
      <c r="Q155" s="687"/>
      <c r="R155" s="687"/>
      <c r="S155" s="687"/>
      <c r="T155" s="687"/>
      <c r="U155" s="687"/>
      <c r="V155" s="687"/>
      <c r="W155" s="687"/>
      <c r="X155" s="687"/>
      <c r="Y155" s="687"/>
      <c r="Z155" s="687"/>
      <c r="AA155" s="687"/>
      <c r="AB155" s="687"/>
    </row>
    <row r="156" spans="2:28" x14ac:dyDescent="0.35">
      <c r="B156" s="687"/>
      <c r="C156" s="687"/>
      <c r="D156" s="171"/>
      <c r="E156" s="171"/>
      <c r="F156" s="171"/>
      <c r="G156" s="171"/>
      <c r="H156" s="173"/>
      <c r="I156" s="457"/>
      <c r="J156" s="687"/>
      <c r="K156" s="687"/>
      <c r="L156" s="687"/>
      <c r="M156" s="687"/>
      <c r="N156" s="687"/>
      <c r="O156" s="687"/>
      <c r="P156" s="687"/>
      <c r="Q156" s="687"/>
      <c r="R156" s="687"/>
      <c r="S156" s="687"/>
      <c r="T156" s="687"/>
      <c r="U156" s="687"/>
      <c r="V156" s="687"/>
      <c r="W156" s="687"/>
      <c r="X156" s="687"/>
      <c r="Y156" s="687"/>
      <c r="Z156" s="687"/>
      <c r="AA156" s="687"/>
      <c r="AB156" s="687"/>
    </row>
    <row r="157" spans="2:28" x14ac:dyDescent="0.35">
      <c r="B157" s="687"/>
      <c r="C157" s="687"/>
      <c r="D157" s="171"/>
      <c r="E157" s="171"/>
      <c r="F157" s="171"/>
      <c r="G157" s="171"/>
      <c r="H157" s="173"/>
      <c r="I157" s="457"/>
      <c r="J157" s="687"/>
      <c r="K157" s="687"/>
      <c r="L157" s="687"/>
      <c r="M157" s="687"/>
      <c r="N157" s="687"/>
      <c r="O157" s="687"/>
      <c r="P157" s="687"/>
      <c r="Q157" s="687"/>
      <c r="R157" s="687"/>
      <c r="S157" s="687"/>
      <c r="T157" s="687"/>
      <c r="U157" s="687"/>
      <c r="V157" s="687"/>
      <c r="W157" s="687"/>
      <c r="X157" s="687"/>
      <c r="Y157" s="687"/>
      <c r="Z157" s="687"/>
      <c r="AA157" s="687"/>
      <c r="AB157" s="687"/>
    </row>
    <row r="158" spans="2:28" x14ac:dyDescent="0.35">
      <c r="B158" s="687"/>
      <c r="C158" s="687"/>
      <c r="D158" s="171"/>
      <c r="E158" s="171"/>
      <c r="F158" s="171"/>
      <c r="G158" s="171"/>
      <c r="H158" s="173"/>
      <c r="I158" s="457"/>
      <c r="J158" s="687"/>
      <c r="K158" s="687"/>
      <c r="L158" s="687"/>
      <c r="M158" s="687"/>
      <c r="N158" s="687"/>
      <c r="O158" s="687"/>
      <c r="P158" s="687"/>
      <c r="Q158" s="687"/>
      <c r="R158" s="687"/>
      <c r="S158" s="687"/>
      <c r="T158" s="687"/>
      <c r="U158" s="687"/>
      <c r="V158" s="687"/>
      <c r="W158" s="687"/>
      <c r="X158" s="687"/>
      <c r="Y158" s="687"/>
      <c r="Z158" s="687"/>
      <c r="AA158" s="687"/>
      <c r="AB158" s="687"/>
    </row>
    <row r="159" spans="2:28" x14ac:dyDescent="0.35">
      <c r="B159" s="687"/>
      <c r="C159" s="687"/>
      <c r="D159" s="171"/>
      <c r="E159" s="171"/>
      <c r="F159" s="171"/>
      <c r="G159" s="171"/>
      <c r="H159" s="173"/>
      <c r="I159" s="457"/>
      <c r="J159" s="687"/>
      <c r="K159" s="687"/>
      <c r="L159" s="687"/>
      <c r="M159" s="687"/>
      <c r="N159" s="687"/>
      <c r="O159" s="687"/>
      <c r="P159" s="687"/>
      <c r="Q159" s="687"/>
      <c r="R159" s="687"/>
      <c r="S159" s="687"/>
      <c r="T159" s="687"/>
      <c r="U159" s="687"/>
      <c r="V159" s="687"/>
      <c r="W159" s="687"/>
      <c r="X159" s="687"/>
      <c r="Y159" s="687"/>
      <c r="Z159" s="687"/>
      <c r="AA159" s="687"/>
      <c r="AB159" s="687"/>
    </row>
    <row r="160" spans="2:28" x14ac:dyDescent="0.35">
      <c r="B160" s="687"/>
      <c r="C160" s="687"/>
      <c r="D160" s="171"/>
      <c r="E160" s="171"/>
      <c r="F160" s="171"/>
      <c r="G160" s="171"/>
      <c r="H160" s="173"/>
      <c r="I160" s="457"/>
      <c r="J160" s="687"/>
      <c r="K160" s="687"/>
      <c r="L160" s="687"/>
      <c r="M160" s="687"/>
      <c r="N160" s="687"/>
      <c r="O160" s="687"/>
      <c r="P160" s="687"/>
      <c r="Q160" s="687"/>
      <c r="R160" s="687"/>
      <c r="S160" s="687"/>
      <c r="T160" s="687"/>
      <c r="U160" s="687"/>
      <c r="V160" s="687"/>
      <c r="W160" s="687"/>
      <c r="X160" s="687"/>
      <c r="Y160" s="687"/>
      <c r="Z160" s="687"/>
      <c r="AA160" s="687"/>
      <c r="AB160" s="687"/>
    </row>
    <row r="161" spans="2:28" x14ac:dyDescent="0.35">
      <c r="B161" s="687"/>
      <c r="C161" s="687"/>
      <c r="D161" s="171"/>
      <c r="E161" s="171"/>
      <c r="F161" s="171"/>
      <c r="G161" s="171"/>
      <c r="H161" s="173"/>
      <c r="I161" s="457"/>
      <c r="J161" s="687"/>
      <c r="K161" s="687"/>
      <c r="L161" s="687"/>
      <c r="M161" s="687"/>
      <c r="N161" s="687"/>
      <c r="O161" s="687"/>
      <c r="P161" s="687"/>
      <c r="Q161" s="687"/>
      <c r="R161" s="687"/>
      <c r="S161" s="687"/>
      <c r="T161" s="687"/>
      <c r="U161" s="687"/>
      <c r="V161" s="687"/>
      <c r="W161" s="687"/>
      <c r="X161" s="687"/>
      <c r="Y161" s="687"/>
      <c r="Z161" s="687"/>
      <c r="AA161" s="687"/>
      <c r="AB161" s="687"/>
    </row>
    <row r="162" spans="2:28" x14ac:dyDescent="0.35">
      <c r="B162" s="687"/>
      <c r="C162" s="687"/>
      <c r="D162" s="171"/>
      <c r="E162" s="171"/>
      <c r="F162" s="171"/>
      <c r="G162" s="171"/>
      <c r="H162" s="173"/>
      <c r="I162" s="457"/>
      <c r="J162" s="687"/>
      <c r="K162" s="687"/>
      <c r="L162" s="687"/>
      <c r="M162" s="687"/>
      <c r="N162" s="687"/>
      <c r="O162" s="687"/>
      <c r="P162" s="687"/>
      <c r="Q162" s="687"/>
      <c r="R162" s="687"/>
      <c r="S162" s="687"/>
      <c r="T162" s="687"/>
      <c r="U162" s="687"/>
      <c r="V162" s="687"/>
      <c r="W162" s="687"/>
      <c r="X162" s="687"/>
      <c r="Y162" s="687"/>
      <c r="Z162" s="687"/>
      <c r="AA162" s="687"/>
      <c r="AB162" s="687"/>
    </row>
    <row r="163" spans="2:28" x14ac:dyDescent="0.35">
      <c r="B163" s="687"/>
      <c r="C163" s="687"/>
      <c r="D163" s="171"/>
      <c r="E163" s="171"/>
      <c r="F163" s="171"/>
      <c r="G163" s="171"/>
      <c r="H163" s="173"/>
      <c r="I163" s="457"/>
      <c r="J163" s="687"/>
      <c r="K163" s="687"/>
      <c r="L163" s="687"/>
      <c r="M163" s="687"/>
      <c r="N163" s="687"/>
      <c r="O163" s="687"/>
      <c r="P163" s="687"/>
      <c r="Q163" s="687"/>
      <c r="R163" s="687"/>
      <c r="S163" s="687"/>
      <c r="T163" s="687"/>
      <c r="U163" s="687"/>
      <c r="V163" s="687"/>
      <c r="W163" s="687"/>
      <c r="X163" s="687"/>
      <c r="Y163" s="687"/>
      <c r="Z163" s="687"/>
      <c r="AA163" s="687"/>
      <c r="AB163" s="687"/>
    </row>
    <row r="164" spans="2:28" x14ac:dyDescent="0.35">
      <c r="B164" s="687"/>
      <c r="C164" s="687"/>
      <c r="D164" s="171"/>
      <c r="E164" s="171"/>
      <c r="F164" s="171"/>
      <c r="G164" s="171"/>
      <c r="H164" s="173"/>
      <c r="I164" s="457"/>
      <c r="J164" s="687"/>
      <c r="K164" s="687"/>
      <c r="L164" s="687"/>
      <c r="M164" s="687"/>
      <c r="N164" s="687"/>
      <c r="O164" s="687"/>
      <c r="P164" s="687"/>
      <c r="Q164" s="687"/>
      <c r="R164" s="687"/>
      <c r="S164" s="687"/>
      <c r="T164" s="687"/>
      <c r="U164" s="687"/>
      <c r="V164" s="687"/>
      <c r="W164" s="687"/>
      <c r="X164" s="687"/>
      <c r="Y164" s="687"/>
      <c r="Z164" s="687"/>
      <c r="AA164" s="687"/>
      <c r="AB164" s="687"/>
    </row>
    <row r="165" spans="2:28" x14ac:dyDescent="0.35">
      <c r="B165" s="687"/>
      <c r="C165" s="687"/>
      <c r="D165" s="171"/>
      <c r="E165" s="171"/>
      <c r="F165" s="171"/>
      <c r="G165" s="171"/>
      <c r="H165" s="173"/>
      <c r="I165" s="457"/>
      <c r="J165" s="687"/>
      <c r="K165" s="687"/>
      <c r="L165" s="687"/>
      <c r="M165" s="687"/>
      <c r="N165" s="687"/>
      <c r="O165" s="687"/>
      <c r="P165" s="687"/>
      <c r="Q165" s="687"/>
      <c r="R165" s="687"/>
      <c r="S165" s="687"/>
      <c r="T165" s="687"/>
      <c r="U165" s="687"/>
      <c r="V165" s="687"/>
      <c r="W165" s="687"/>
      <c r="X165" s="687"/>
      <c r="Y165" s="687"/>
      <c r="Z165" s="687"/>
      <c r="AA165" s="687"/>
      <c r="AB165" s="687"/>
    </row>
    <row r="166" spans="2:28" x14ac:dyDescent="0.35">
      <c r="B166" s="687"/>
      <c r="C166" s="687"/>
      <c r="D166" s="171"/>
      <c r="E166" s="171"/>
      <c r="F166" s="171"/>
      <c r="G166" s="171"/>
      <c r="H166" s="173"/>
      <c r="I166" s="457"/>
      <c r="J166" s="687"/>
      <c r="K166" s="687"/>
      <c r="L166" s="687"/>
      <c r="M166" s="687"/>
      <c r="N166" s="687"/>
      <c r="O166" s="687"/>
      <c r="P166" s="687"/>
      <c r="Q166" s="687"/>
      <c r="R166" s="687"/>
      <c r="S166" s="687"/>
      <c r="T166" s="687"/>
      <c r="U166" s="687"/>
      <c r="V166" s="687"/>
      <c r="W166" s="687"/>
      <c r="X166" s="687"/>
      <c r="Y166" s="687"/>
      <c r="Z166" s="687"/>
      <c r="AA166" s="687"/>
      <c r="AB166" s="687"/>
    </row>
    <row r="167" spans="2:28" x14ac:dyDescent="0.35">
      <c r="B167" s="687"/>
      <c r="C167" s="687"/>
      <c r="D167" s="171"/>
      <c r="E167" s="171"/>
      <c r="F167" s="171"/>
      <c r="G167" s="171"/>
      <c r="H167" s="173"/>
      <c r="I167" s="457"/>
      <c r="J167" s="687"/>
      <c r="K167" s="687"/>
      <c r="L167" s="687"/>
      <c r="M167" s="687"/>
      <c r="N167" s="687"/>
      <c r="O167" s="687"/>
      <c r="P167" s="687"/>
      <c r="Q167" s="687"/>
      <c r="R167" s="687"/>
      <c r="S167" s="687"/>
      <c r="T167" s="687"/>
      <c r="U167" s="687"/>
      <c r="V167" s="687"/>
      <c r="W167" s="687"/>
      <c r="X167" s="687"/>
      <c r="Y167" s="687"/>
      <c r="Z167" s="687"/>
      <c r="AA167" s="687"/>
      <c r="AB167" s="687"/>
    </row>
    <row r="168" spans="2:28" x14ac:dyDescent="0.35">
      <c r="B168" s="687"/>
      <c r="C168" s="687"/>
      <c r="D168" s="171"/>
      <c r="E168" s="171"/>
      <c r="F168" s="171"/>
      <c r="G168" s="171"/>
      <c r="H168" s="173"/>
      <c r="I168" s="457"/>
      <c r="J168" s="687"/>
      <c r="K168" s="687"/>
      <c r="L168" s="687"/>
      <c r="M168" s="687"/>
      <c r="N168" s="687"/>
      <c r="O168" s="687"/>
      <c r="P168" s="687"/>
      <c r="Q168" s="687"/>
      <c r="R168" s="687"/>
      <c r="S168" s="687"/>
      <c r="T168" s="687"/>
      <c r="U168" s="687"/>
      <c r="V168" s="687"/>
      <c r="W168" s="687"/>
      <c r="X168" s="687"/>
      <c r="Y168" s="687"/>
      <c r="Z168" s="687"/>
      <c r="AA168" s="687"/>
      <c r="AB168" s="687"/>
    </row>
    <row r="169" spans="2:28" x14ac:dyDescent="0.35">
      <c r="B169" s="687"/>
      <c r="C169" s="687"/>
      <c r="D169" s="171"/>
      <c r="E169" s="171"/>
      <c r="F169" s="171"/>
      <c r="G169" s="171"/>
      <c r="H169" s="173"/>
      <c r="I169" s="457"/>
      <c r="J169" s="687"/>
      <c r="K169" s="687"/>
      <c r="L169" s="687"/>
      <c r="M169" s="687"/>
      <c r="N169" s="687"/>
      <c r="O169" s="687"/>
      <c r="P169" s="687"/>
      <c r="Q169" s="687"/>
      <c r="R169" s="687"/>
      <c r="S169" s="687"/>
      <c r="T169" s="687"/>
      <c r="U169" s="687"/>
      <c r="V169" s="687"/>
      <c r="W169" s="687"/>
      <c r="X169" s="687"/>
      <c r="Y169" s="687"/>
      <c r="Z169" s="687"/>
      <c r="AA169" s="687"/>
      <c r="AB169" s="687"/>
    </row>
    <row r="170" spans="2:28" x14ac:dyDescent="0.35">
      <c r="B170" s="687"/>
      <c r="C170" s="687"/>
      <c r="D170" s="171"/>
      <c r="E170" s="171"/>
      <c r="F170" s="171"/>
      <c r="G170" s="171"/>
      <c r="H170" s="173"/>
      <c r="I170" s="457"/>
      <c r="J170" s="687"/>
      <c r="K170" s="687"/>
      <c r="L170" s="687"/>
      <c r="M170" s="687"/>
      <c r="N170" s="687"/>
      <c r="O170" s="687"/>
      <c r="P170" s="687"/>
      <c r="Q170" s="687"/>
      <c r="R170" s="687"/>
      <c r="S170" s="687"/>
      <c r="T170" s="687"/>
      <c r="U170" s="687"/>
      <c r="V170" s="687"/>
      <c r="W170" s="687"/>
      <c r="X170" s="687"/>
      <c r="Y170" s="687"/>
      <c r="Z170" s="687"/>
      <c r="AA170" s="687"/>
      <c r="AB170" s="687"/>
    </row>
    <row r="171" spans="2:28" x14ac:dyDescent="0.35">
      <c r="B171" s="687"/>
      <c r="C171" s="687"/>
      <c r="D171" s="171"/>
      <c r="E171" s="171"/>
      <c r="F171" s="171"/>
      <c r="G171" s="171"/>
      <c r="H171" s="173"/>
      <c r="I171" s="457"/>
      <c r="J171" s="687"/>
      <c r="K171" s="687"/>
      <c r="L171" s="687"/>
      <c r="M171" s="687"/>
      <c r="N171" s="687"/>
      <c r="O171" s="687"/>
      <c r="P171" s="687"/>
      <c r="Q171" s="687"/>
      <c r="R171" s="687"/>
      <c r="S171" s="687"/>
      <c r="T171" s="687"/>
      <c r="U171" s="687"/>
      <c r="V171" s="687"/>
      <c r="W171" s="687"/>
      <c r="X171" s="687"/>
      <c r="Y171" s="687"/>
      <c r="Z171" s="687"/>
      <c r="AA171" s="687"/>
      <c r="AB171" s="687"/>
    </row>
    <row r="172" spans="2:28" x14ac:dyDescent="0.35">
      <c r="B172" s="457"/>
      <c r="C172" s="457"/>
      <c r="D172" s="171"/>
      <c r="E172" s="171"/>
      <c r="F172" s="171"/>
      <c r="G172" s="171"/>
      <c r="H172" s="173"/>
      <c r="I172" s="457"/>
      <c r="J172" s="687"/>
      <c r="K172" s="687"/>
      <c r="L172" s="687"/>
      <c r="M172" s="687"/>
      <c r="N172" s="687"/>
      <c r="O172" s="687"/>
      <c r="P172" s="687"/>
      <c r="Q172" s="687"/>
      <c r="R172" s="687"/>
      <c r="S172" s="687"/>
      <c r="T172" s="687"/>
      <c r="U172" s="687"/>
      <c r="V172" s="687"/>
      <c r="W172" s="687"/>
      <c r="X172" s="687"/>
      <c r="Y172" s="687"/>
      <c r="Z172" s="687"/>
      <c r="AA172" s="687"/>
      <c r="AB172" s="687"/>
    </row>
    <row r="173" spans="2:28" x14ac:dyDescent="0.35">
      <c r="B173" s="457"/>
      <c r="C173" s="457"/>
      <c r="D173" s="171"/>
      <c r="E173" s="171"/>
      <c r="F173" s="171"/>
      <c r="G173" s="171"/>
      <c r="H173" s="173"/>
      <c r="I173" s="457"/>
      <c r="J173" s="687"/>
      <c r="K173" s="687"/>
      <c r="L173" s="687"/>
      <c r="M173" s="687"/>
      <c r="N173" s="687"/>
      <c r="O173" s="687"/>
      <c r="P173" s="687"/>
      <c r="Q173" s="687"/>
      <c r="R173" s="687"/>
      <c r="S173" s="687"/>
      <c r="T173" s="687"/>
      <c r="U173" s="687"/>
      <c r="V173" s="687"/>
      <c r="W173" s="687"/>
      <c r="X173" s="687"/>
      <c r="Y173" s="687"/>
      <c r="Z173" s="687"/>
      <c r="AA173" s="687"/>
      <c r="AB173" s="687"/>
    </row>
    <row r="174" spans="2:28" x14ac:dyDescent="0.35">
      <c r="B174" s="457"/>
      <c r="C174" s="457"/>
      <c r="D174" s="457"/>
      <c r="E174" s="457"/>
      <c r="F174" s="457"/>
      <c r="G174" s="457"/>
      <c r="H174" s="173"/>
      <c r="I174" s="457"/>
      <c r="J174" s="687"/>
      <c r="K174" s="687"/>
      <c r="L174" s="687"/>
      <c r="M174" s="687"/>
      <c r="N174" s="687"/>
      <c r="O174" s="687"/>
      <c r="P174" s="687"/>
      <c r="Q174" s="687"/>
      <c r="R174" s="687"/>
      <c r="S174" s="687"/>
      <c r="T174" s="687"/>
      <c r="U174" s="687"/>
      <c r="V174" s="687"/>
      <c r="W174" s="687"/>
      <c r="X174" s="687"/>
      <c r="Y174" s="687"/>
      <c r="Z174" s="687"/>
      <c r="AA174" s="687"/>
      <c r="AB174" s="687"/>
    </row>
    <row r="175" spans="2:28" x14ac:dyDescent="0.35">
      <c r="B175" s="457"/>
      <c r="C175" s="457"/>
      <c r="D175" s="457"/>
      <c r="E175" s="457"/>
      <c r="F175" s="457"/>
      <c r="G175" s="457"/>
      <c r="H175" s="173"/>
      <c r="I175" s="457"/>
      <c r="J175" s="687"/>
      <c r="K175" s="687"/>
      <c r="L175" s="687"/>
      <c r="M175" s="687"/>
      <c r="N175" s="687"/>
      <c r="O175" s="687"/>
      <c r="P175" s="687"/>
      <c r="Q175" s="687"/>
      <c r="R175" s="687"/>
      <c r="S175" s="687"/>
      <c r="T175" s="687"/>
      <c r="U175" s="687"/>
      <c r="V175" s="687"/>
      <c r="W175" s="687"/>
      <c r="X175" s="687"/>
      <c r="Y175" s="687"/>
      <c r="Z175" s="687"/>
      <c r="AA175" s="687"/>
      <c r="AB175" s="687"/>
    </row>
    <row r="176" spans="2:28" x14ac:dyDescent="0.35">
      <c r="B176" s="457"/>
      <c r="C176" s="457"/>
      <c r="D176" s="457"/>
      <c r="E176" s="457"/>
      <c r="F176" s="457"/>
      <c r="G176" s="457"/>
      <c r="H176" s="173"/>
      <c r="I176" s="457"/>
      <c r="J176" s="687"/>
      <c r="K176" s="687"/>
      <c r="L176" s="687"/>
      <c r="M176" s="687"/>
      <c r="N176" s="687"/>
      <c r="O176" s="687"/>
      <c r="P176" s="687"/>
      <c r="Q176" s="687"/>
      <c r="R176" s="687"/>
      <c r="S176" s="687"/>
      <c r="T176" s="687"/>
      <c r="U176" s="687"/>
      <c r="V176" s="687"/>
      <c r="W176" s="687"/>
      <c r="X176" s="687"/>
      <c r="Y176" s="687"/>
      <c r="Z176" s="687"/>
      <c r="AA176" s="687"/>
      <c r="AB176" s="687"/>
    </row>
    <row r="177" spans="2:28" x14ac:dyDescent="0.35">
      <c r="B177" s="457"/>
      <c r="C177" s="457"/>
      <c r="D177" s="457"/>
      <c r="E177" s="457"/>
      <c r="F177" s="457"/>
      <c r="G177" s="457"/>
      <c r="H177" s="457"/>
      <c r="I177" s="457"/>
      <c r="J177" s="687"/>
      <c r="K177" s="687"/>
      <c r="L177" s="687"/>
      <c r="M177" s="687"/>
      <c r="N177" s="687"/>
      <c r="O177" s="687"/>
      <c r="P177" s="687"/>
      <c r="Q177" s="687"/>
      <c r="R177" s="687"/>
      <c r="S177" s="687"/>
      <c r="T177" s="687"/>
      <c r="U177" s="687"/>
      <c r="V177" s="687"/>
      <c r="W177" s="687"/>
      <c r="X177" s="687"/>
      <c r="Y177" s="687"/>
      <c r="Z177" s="687"/>
      <c r="AA177" s="687"/>
      <c r="AB177" s="687"/>
    </row>
    <row r="178" spans="2:28" x14ac:dyDescent="0.35">
      <c r="B178" s="457"/>
      <c r="C178" s="457"/>
      <c r="D178" s="457"/>
      <c r="E178" s="457"/>
      <c r="F178" s="457"/>
      <c r="G178" s="457"/>
      <c r="H178" s="457"/>
      <c r="I178" s="457"/>
      <c r="J178" s="687"/>
      <c r="K178" s="687"/>
      <c r="L178" s="687"/>
      <c r="M178" s="687"/>
      <c r="N178" s="687"/>
      <c r="O178" s="687"/>
      <c r="P178" s="687"/>
      <c r="Q178" s="687"/>
      <c r="R178" s="687"/>
      <c r="S178" s="687"/>
      <c r="T178" s="687"/>
      <c r="U178" s="687"/>
      <c r="V178" s="687"/>
      <c r="W178" s="687"/>
      <c r="X178" s="687"/>
      <c r="Y178" s="687"/>
      <c r="Z178" s="687"/>
      <c r="AA178" s="687"/>
      <c r="AB178" s="687"/>
    </row>
    <row r="179" spans="2:28" x14ac:dyDescent="0.35">
      <c r="B179" s="457"/>
      <c r="C179" s="457"/>
      <c r="D179" s="457"/>
      <c r="E179" s="457"/>
      <c r="F179" s="457"/>
      <c r="G179" s="457"/>
      <c r="H179" s="457"/>
      <c r="I179" s="457"/>
      <c r="J179" s="687"/>
      <c r="K179" s="687"/>
      <c r="L179" s="687"/>
      <c r="M179" s="687"/>
      <c r="N179" s="687"/>
      <c r="O179" s="687"/>
      <c r="P179" s="687"/>
      <c r="Q179" s="687"/>
      <c r="R179" s="687"/>
      <c r="S179" s="687"/>
      <c r="T179" s="687"/>
      <c r="U179" s="687"/>
      <c r="V179" s="687"/>
      <c r="W179" s="687"/>
      <c r="X179" s="687"/>
      <c r="Y179" s="687"/>
      <c r="Z179" s="687"/>
      <c r="AA179" s="687"/>
      <c r="AB179" s="687"/>
    </row>
    <row r="180" spans="2:28" x14ac:dyDescent="0.35">
      <c r="B180" s="457"/>
      <c r="C180" s="457"/>
      <c r="D180" s="457"/>
      <c r="E180" s="457"/>
      <c r="F180" s="457"/>
      <c r="G180" s="457"/>
      <c r="H180" s="457"/>
      <c r="I180" s="457"/>
      <c r="J180" s="687"/>
      <c r="K180" s="687"/>
      <c r="L180" s="687"/>
      <c r="M180" s="687"/>
      <c r="N180" s="687"/>
      <c r="O180" s="687"/>
      <c r="P180" s="687"/>
      <c r="Q180" s="687"/>
      <c r="R180" s="687"/>
      <c r="S180" s="687"/>
      <c r="T180" s="687"/>
      <c r="U180" s="687"/>
      <c r="V180" s="687"/>
      <c r="W180" s="687"/>
      <c r="X180" s="687"/>
      <c r="Y180" s="687"/>
      <c r="Z180" s="687"/>
      <c r="AA180" s="687"/>
      <c r="AB180" s="687"/>
    </row>
    <row r="181" spans="2:28" x14ac:dyDescent="0.35">
      <c r="B181" s="457"/>
      <c r="C181" s="457"/>
      <c r="D181" s="457"/>
      <c r="E181" s="457"/>
      <c r="F181" s="457"/>
      <c r="G181" s="457"/>
      <c r="H181" s="457"/>
      <c r="I181" s="457"/>
      <c r="J181" s="687"/>
      <c r="K181" s="687"/>
      <c r="L181" s="687"/>
      <c r="M181" s="687"/>
      <c r="N181" s="687"/>
      <c r="O181" s="687"/>
      <c r="P181" s="687"/>
      <c r="Q181" s="687"/>
      <c r="R181" s="687"/>
      <c r="S181" s="687"/>
      <c r="T181" s="687"/>
      <c r="U181" s="687"/>
      <c r="V181" s="687"/>
      <c r="W181" s="687"/>
      <c r="X181" s="687"/>
      <c r="Y181" s="687"/>
      <c r="Z181" s="687"/>
      <c r="AA181" s="687"/>
      <c r="AB181" s="687"/>
    </row>
    <row r="182" spans="2:28" x14ac:dyDescent="0.35">
      <c r="B182" s="687"/>
      <c r="C182" s="687"/>
      <c r="D182" s="687"/>
      <c r="E182" s="687"/>
      <c r="F182" s="687"/>
      <c r="G182" s="687"/>
      <c r="H182" s="687"/>
      <c r="I182" s="687"/>
      <c r="J182" s="687"/>
      <c r="K182" s="687"/>
      <c r="L182" s="687"/>
      <c r="M182" s="687"/>
      <c r="N182" s="687"/>
      <c r="O182" s="687"/>
      <c r="P182" s="687"/>
      <c r="Q182" s="687"/>
      <c r="R182" s="687"/>
      <c r="S182" s="687"/>
      <c r="T182" s="687"/>
      <c r="U182" s="687"/>
      <c r="V182" s="687"/>
      <c r="W182" s="687"/>
      <c r="X182" s="687"/>
      <c r="Y182" s="687"/>
      <c r="Z182" s="687"/>
      <c r="AA182" s="687"/>
      <c r="AB182" s="687"/>
    </row>
    <row r="183" spans="2:28" x14ac:dyDescent="0.35">
      <c r="B183" s="687"/>
      <c r="C183" s="687"/>
      <c r="D183" s="687"/>
      <c r="E183" s="687"/>
      <c r="F183" s="687"/>
      <c r="G183" s="687"/>
      <c r="H183" s="687"/>
      <c r="I183" s="687"/>
      <c r="J183" s="687"/>
      <c r="K183" s="687"/>
      <c r="L183" s="687"/>
      <c r="M183" s="687"/>
      <c r="N183" s="687"/>
      <c r="O183" s="687"/>
      <c r="P183" s="687"/>
      <c r="Q183" s="687"/>
      <c r="R183" s="687"/>
      <c r="S183" s="687"/>
      <c r="T183" s="687"/>
      <c r="U183" s="687"/>
      <c r="V183" s="687"/>
      <c r="W183" s="687"/>
      <c r="X183" s="687"/>
      <c r="Y183" s="687"/>
      <c r="Z183" s="687"/>
      <c r="AA183" s="687"/>
      <c r="AB183" s="687"/>
    </row>
  </sheetData>
  <mergeCells count="16">
    <mergeCell ref="B46:G46"/>
    <mergeCell ref="B7:G7"/>
    <mergeCell ref="B8:G8"/>
    <mergeCell ref="B14:G14"/>
    <mergeCell ref="A1:I1"/>
    <mergeCell ref="B45:G45"/>
    <mergeCell ref="B18:G18"/>
    <mergeCell ref="B27:G27"/>
    <mergeCell ref="E31:F31"/>
    <mergeCell ref="D4:D5"/>
    <mergeCell ref="E4:I5"/>
    <mergeCell ref="B84:F84"/>
    <mergeCell ref="B56:G56"/>
    <mergeCell ref="B65:G65"/>
    <mergeCell ref="E69:F69"/>
    <mergeCell ref="B52:G52"/>
  </mergeCells>
  <hyperlinks>
    <hyperlink ref="B4" location="'Glossary-FAQs'!A1" display="Glossary/FAQ" xr:uid="{9ECBC9BB-90AC-452E-96EA-E8DA2CEEA4E7}"/>
    <hyperlink ref="C3" location="'Welcome'!C15" display="  = Data entry needed. See color legend on Welcome tab for more info.  " xr:uid="{A3A09604-8B06-4413-9DB6-58F3238D204A}"/>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0EDE-9373-4FC7-AD2E-D4EB477EC828}">
  <sheetPr>
    <tabColor rgb="FFFFFF00"/>
  </sheetPr>
  <dimension ref="A1:I74"/>
  <sheetViews>
    <sheetView topLeftCell="A61" zoomScaleNormal="100" workbookViewId="0">
      <selection activeCell="C51" sqref="C51"/>
    </sheetView>
  </sheetViews>
  <sheetFormatPr defaultRowHeight="14.5" x14ac:dyDescent="0.35"/>
  <cols>
    <col min="1" max="1" width="5.453125" customWidth="1"/>
    <col min="2" max="2" width="4.1796875" customWidth="1"/>
    <col min="3" max="3" width="19.7265625" customWidth="1"/>
    <col min="4" max="4" width="77.54296875" customWidth="1"/>
    <col min="5" max="5" width="39.26953125" style="687" customWidth="1"/>
    <col min="6" max="6" width="5.1796875" customWidth="1"/>
    <col min="7" max="7" width="6.81640625" customWidth="1"/>
  </cols>
  <sheetData>
    <row r="1" spans="1:9" s="687" customFormat="1" ht="33" customHeight="1" x14ac:dyDescent="0.5">
      <c r="A1" s="1462" t="s">
        <v>73</v>
      </c>
      <c r="B1" s="1433"/>
      <c r="C1" s="1433"/>
      <c r="D1" s="1433"/>
      <c r="E1" s="1433"/>
      <c r="F1" s="1433"/>
      <c r="G1" s="1433"/>
    </row>
    <row r="2" spans="1:9" s="687" customFormat="1" ht="21" customHeight="1" x14ac:dyDescent="0.45">
      <c r="A2" s="1505" t="s">
        <v>74</v>
      </c>
      <c r="B2" s="1433"/>
      <c r="C2" s="1433"/>
      <c r="D2" s="1433"/>
      <c r="E2" s="1433"/>
      <c r="F2" s="1433"/>
      <c r="G2" s="1433"/>
    </row>
    <row r="3" spans="1:9" ht="11.5" customHeight="1" x14ac:dyDescent="0.35">
      <c r="A3" s="1433"/>
      <c r="B3" s="1433"/>
      <c r="C3" s="1433"/>
      <c r="D3" s="1433"/>
      <c r="E3" s="1433"/>
      <c r="F3" s="1433"/>
      <c r="G3" s="1433"/>
      <c r="H3" s="687"/>
      <c r="I3" s="687"/>
    </row>
    <row r="4" spans="1:9" ht="22.5" x14ac:dyDescent="0.45">
      <c r="A4" s="1433"/>
      <c r="B4" s="1458" t="s">
        <v>75</v>
      </c>
      <c r="C4" s="1459"/>
      <c r="D4" s="1459"/>
      <c r="E4" s="1459"/>
      <c r="F4" s="1460"/>
      <c r="G4" s="1499"/>
      <c r="H4" s="1496"/>
      <c r="I4" s="1496"/>
    </row>
    <row r="5" spans="1:9" ht="18.5" x14ac:dyDescent="0.45">
      <c r="A5" s="1433"/>
      <c r="B5" s="1439"/>
      <c r="C5" s="1465"/>
      <c r="D5" s="1445"/>
      <c r="E5" s="1445"/>
      <c r="F5" s="1440"/>
      <c r="G5" s="1433"/>
      <c r="H5" s="87"/>
      <c r="I5" s="87"/>
    </row>
    <row r="6" spans="1:9" ht="18.5" x14ac:dyDescent="0.45">
      <c r="A6" s="1433"/>
      <c r="B6" s="1439"/>
      <c r="C6" s="1722" t="s">
        <v>76</v>
      </c>
      <c r="D6" s="1722"/>
      <c r="E6" s="1722"/>
      <c r="F6" s="1463"/>
      <c r="G6" s="1500"/>
      <c r="H6" s="1497"/>
      <c r="I6" s="87"/>
    </row>
    <row r="7" spans="1:9" ht="14.5" customHeight="1" x14ac:dyDescent="0.35">
      <c r="A7" s="1433"/>
      <c r="B7" s="1439"/>
      <c r="C7" s="1723" t="s">
        <v>77</v>
      </c>
      <c r="D7" s="1723"/>
      <c r="E7" s="1723"/>
      <c r="F7" s="1464"/>
      <c r="G7" s="1501"/>
      <c r="H7" s="87"/>
      <c r="I7" s="87"/>
    </row>
    <row r="8" spans="1:9" x14ac:dyDescent="0.35">
      <c r="A8" s="1433"/>
      <c r="B8" s="1439"/>
      <c r="C8" s="1540"/>
      <c r="D8" s="1541"/>
      <c r="E8" s="1541"/>
      <c r="F8" s="1464"/>
      <c r="G8" s="1501"/>
      <c r="H8" s="87"/>
      <c r="I8" s="87"/>
    </row>
    <row r="9" spans="1:9" s="687" customFormat="1" x14ac:dyDescent="0.35">
      <c r="A9" s="1433"/>
      <c r="B9" s="1439"/>
      <c r="C9" s="1722" t="s">
        <v>78</v>
      </c>
      <c r="D9" s="1722"/>
      <c r="E9" s="1722"/>
      <c r="F9" s="1464"/>
      <c r="G9" s="1501"/>
      <c r="H9" s="87"/>
      <c r="I9" s="87"/>
    </row>
    <row r="10" spans="1:9" s="687" customFormat="1" ht="63" customHeight="1" x14ac:dyDescent="0.35">
      <c r="A10" s="1433"/>
      <c r="B10" s="1439"/>
      <c r="C10" s="1725" t="s">
        <v>65</v>
      </c>
      <c r="D10" s="1725"/>
      <c r="E10" s="1725"/>
      <c r="F10" s="1464"/>
      <c r="G10" s="1501"/>
      <c r="H10" s="87"/>
      <c r="I10" s="87"/>
    </row>
    <row r="11" spans="1:9" s="687" customFormat="1" x14ac:dyDescent="0.35">
      <c r="A11" s="1433"/>
      <c r="B11" s="1439"/>
      <c r="C11" s="1540"/>
      <c r="D11" s="1541"/>
      <c r="E11" s="1541"/>
      <c r="F11" s="1464"/>
      <c r="G11" s="1501"/>
      <c r="H11" s="87"/>
      <c r="I11" s="87"/>
    </row>
    <row r="12" spans="1:9" s="687" customFormat="1" x14ac:dyDescent="0.35">
      <c r="A12" s="1433"/>
      <c r="B12" s="1439"/>
      <c r="C12" s="1726" t="s">
        <v>79</v>
      </c>
      <c r="D12" s="1726"/>
      <c r="E12" s="1726"/>
      <c r="F12" s="1464"/>
      <c r="G12" s="1501"/>
      <c r="H12" s="87"/>
      <c r="I12" s="87"/>
    </row>
    <row r="13" spans="1:9" s="687" customFormat="1" ht="45" customHeight="1" x14ac:dyDescent="0.35">
      <c r="A13" s="1433"/>
      <c r="B13" s="1439"/>
      <c r="C13" s="1725" t="s">
        <v>80</v>
      </c>
      <c r="D13" s="1725"/>
      <c r="E13" s="1725"/>
      <c r="F13" s="1464"/>
      <c r="G13" s="1501"/>
      <c r="H13" s="87"/>
      <c r="I13" s="87"/>
    </row>
    <row r="14" spans="1:9" s="687" customFormat="1" x14ac:dyDescent="0.35">
      <c r="A14" s="1433"/>
      <c r="B14" s="1439"/>
      <c r="C14" s="1540"/>
      <c r="D14" s="1541"/>
      <c r="E14" s="1541"/>
      <c r="F14" s="1464"/>
      <c r="G14" s="1501"/>
      <c r="H14" s="87"/>
      <c r="I14" s="87"/>
    </row>
    <row r="15" spans="1:9" s="687" customFormat="1" x14ac:dyDescent="0.35">
      <c r="A15" s="1433"/>
      <c r="B15" s="1439"/>
      <c r="C15" s="1722" t="s">
        <v>81</v>
      </c>
      <c r="D15" s="1722"/>
      <c r="E15" s="1722"/>
      <c r="F15" s="1464"/>
      <c r="G15" s="1501"/>
      <c r="H15" s="87"/>
      <c r="I15" s="87"/>
    </row>
    <row r="16" spans="1:9" s="687" customFormat="1" ht="31.5" customHeight="1" x14ac:dyDescent="0.35">
      <c r="A16" s="1433"/>
      <c r="B16" s="1439"/>
      <c r="C16" s="1727" t="s">
        <v>82</v>
      </c>
      <c r="D16" s="1727"/>
      <c r="E16" s="1727"/>
      <c r="F16" s="1464"/>
      <c r="G16" s="1501"/>
      <c r="H16" s="87"/>
      <c r="I16" s="87"/>
    </row>
    <row r="17" spans="1:9" s="687" customFormat="1" x14ac:dyDescent="0.35">
      <c r="A17" s="1433"/>
      <c r="B17" s="1439"/>
      <c r="C17" s="1540"/>
      <c r="D17" s="1541"/>
      <c r="E17" s="1541"/>
      <c r="F17" s="1464"/>
      <c r="G17" s="1501"/>
      <c r="H17" s="87"/>
      <c r="I17" s="87"/>
    </row>
    <row r="18" spans="1:9" x14ac:dyDescent="0.35">
      <c r="A18" s="1433"/>
      <c r="B18" s="1439"/>
      <c r="C18" s="1722" t="s">
        <v>83</v>
      </c>
      <c r="D18" s="1722"/>
      <c r="E18" s="1722"/>
      <c r="F18" s="1464"/>
      <c r="G18" s="1501"/>
      <c r="H18" s="87"/>
      <c r="I18" s="87"/>
    </row>
    <row r="19" spans="1:9" ht="29.25" customHeight="1" x14ac:dyDescent="0.35">
      <c r="A19" s="1433"/>
      <c r="B19" s="1439"/>
      <c r="C19" s="1724" t="s">
        <v>84</v>
      </c>
      <c r="D19" s="1724"/>
      <c r="E19" s="1724"/>
      <c r="F19" s="1464"/>
      <c r="G19" s="1501"/>
      <c r="H19" s="87"/>
      <c r="I19" s="87"/>
    </row>
    <row r="20" spans="1:9" x14ac:dyDescent="0.35">
      <c r="A20" s="1433"/>
      <c r="B20" s="1439"/>
      <c r="C20" s="1541"/>
      <c r="D20" s="1541"/>
      <c r="E20" s="1541"/>
      <c r="F20" s="1445"/>
      <c r="G20" s="1437"/>
      <c r="H20" s="87"/>
      <c r="I20" s="87"/>
    </row>
    <row r="21" spans="1:9" x14ac:dyDescent="0.35">
      <c r="A21" s="1433"/>
      <c r="B21" s="1439"/>
      <c r="C21" s="1722" t="s">
        <v>85</v>
      </c>
      <c r="D21" s="1722"/>
      <c r="E21" s="1722"/>
      <c r="F21" s="1445"/>
      <c r="G21" s="1437"/>
      <c r="H21" s="87"/>
      <c r="I21" s="87"/>
    </row>
    <row r="22" spans="1:9" s="687" customFormat="1" ht="61" customHeight="1" x14ac:dyDescent="0.35">
      <c r="A22" s="1433"/>
      <c r="B22" s="1439"/>
      <c r="C22" s="1723" t="s">
        <v>86</v>
      </c>
      <c r="D22" s="1723"/>
      <c r="E22" s="1723"/>
      <c r="F22" s="1445"/>
      <c r="G22" s="1437"/>
      <c r="H22" s="87"/>
      <c r="I22" s="87"/>
    </row>
    <row r="23" spans="1:9" s="687" customFormat="1" x14ac:dyDescent="0.35">
      <c r="A23" s="1433"/>
      <c r="B23" s="1439"/>
      <c r="C23" s="1540"/>
      <c r="D23" s="1541"/>
      <c r="E23" s="1541"/>
      <c r="F23" s="1445"/>
      <c r="G23" s="1437"/>
      <c r="H23" s="87"/>
      <c r="I23" s="87"/>
    </row>
    <row r="24" spans="1:9" s="687" customFormat="1" x14ac:dyDescent="0.35">
      <c r="A24" s="1433"/>
      <c r="B24" s="1439"/>
      <c r="C24" s="1722" t="s">
        <v>83</v>
      </c>
      <c r="D24" s="1722"/>
      <c r="E24" s="1722"/>
      <c r="F24" s="1445"/>
      <c r="G24" s="1437"/>
      <c r="H24" s="87"/>
      <c r="I24" s="87"/>
    </row>
    <row r="25" spans="1:9" s="695" customFormat="1" ht="33.65" customHeight="1" x14ac:dyDescent="0.35">
      <c r="A25" s="1542"/>
      <c r="B25" s="1543"/>
      <c r="C25" s="1724" t="s">
        <v>84</v>
      </c>
      <c r="D25" s="1724"/>
      <c r="E25" s="1724"/>
      <c r="F25" s="1544"/>
      <c r="G25" s="1545"/>
      <c r="H25" s="1546"/>
      <c r="I25" s="1546"/>
    </row>
    <row r="26" spans="1:9" s="687" customFormat="1" x14ac:dyDescent="0.35">
      <c r="A26" s="1433"/>
      <c r="B26" s="1439"/>
      <c r="C26" s="1540"/>
      <c r="D26" s="1541"/>
      <c r="E26" s="1541"/>
      <c r="F26" s="1445"/>
      <c r="G26" s="1437"/>
      <c r="H26" s="87"/>
      <c r="I26" s="87"/>
    </row>
    <row r="27" spans="1:9" s="687" customFormat="1" x14ac:dyDescent="0.35">
      <c r="A27" s="1433"/>
      <c r="B27" s="1439"/>
      <c r="C27" s="1722" t="s">
        <v>87</v>
      </c>
      <c r="D27" s="1722"/>
      <c r="E27" s="1722"/>
      <c r="F27" s="1445"/>
      <c r="G27" s="1437"/>
      <c r="H27" s="87"/>
      <c r="I27" s="87"/>
    </row>
    <row r="28" spans="1:9" s="687" customFormat="1" ht="31.5" customHeight="1" x14ac:dyDescent="0.35">
      <c r="A28" s="1433"/>
      <c r="B28" s="1439"/>
      <c r="C28" s="1723" t="s">
        <v>88</v>
      </c>
      <c r="D28" s="1723"/>
      <c r="E28" s="1723"/>
      <c r="F28" s="1445"/>
      <c r="G28" s="1437"/>
      <c r="H28" s="87"/>
      <c r="I28" s="87"/>
    </row>
    <row r="29" spans="1:9" s="687" customFormat="1" x14ac:dyDescent="0.35">
      <c r="A29" s="1433"/>
      <c r="B29" s="1439"/>
      <c r="C29" s="1540"/>
      <c r="D29" s="1541"/>
      <c r="E29" s="1541"/>
      <c r="F29" s="1445"/>
      <c r="G29" s="1437"/>
      <c r="H29" s="87"/>
      <c r="I29" s="87"/>
    </row>
    <row r="30" spans="1:9" s="687" customFormat="1" x14ac:dyDescent="0.35">
      <c r="A30" s="1433"/>
      <c r="B30" s="1439"/>
      <c r="C30" s="1726" t="s">
        <v>89</v>
      </c>
      <c r="D30" s="1726"/>
      <c r="E30" s="1726"/>
      <c r="F30" s="1445"/>
      <c r="G30" s="1437"/>
      <c r="H30" s="87"/>
      <c r="I30" s="87"/>
    </row>
    <row r="31" spans="1:9" s="687" customFormat="1" ht="30" customHeight="1" x14ac:dyDescent="0.35">
      <c r="A31" s="1433"/>
      <c r="B31" s="1439"/>
      <c r="C31" s="1727" t="s">
        <v>90</v>
      </c>
      <c r="D31" s="1727"/>
      <c r="E31" s="1727"/>
      <c r="F31" s="1445"/>
      <c r="G31" s="1437"/>
      <c r="H31" s="87"/>
      <c r="I31" s="87"/>
    </row>
    <row r="32" spans="1:9" s="687" customFormat="1" x14ac:dyDescent="0.35">
      <c r="A32" s="1433"/>
      <c r="B32" s="1439"/>
      <c r="C32" s="1540"/>
      <c r="D32" s="1541"/>
      <c r="E32" s="1541"/>
      <c r="F32" s="1445"/>
      <c r="G32" s="1437"/>
      <c r="H32" s="87"/>
      <c r="I32" s="87"/>
    </row>
    <row r="33" spans="1:9" s="687" customFormat="1" x14ac:dyDescent="0.35">
      <c r="A33" s="1433"/>
      <c r="B33" s="1439"/>
      <c r="C33" s="1728" t="s">
        <v>91</v>
      </c>
      <c r="D33" s="1728"/>
      <c r="E33" s="1728"/>
      <c r="F33" s="1445"/>
      <c r="G33" s="1437"/>
      <c r="H33" s="87"/>
      <c r="I33" s="87"/>
    </row>
    <row r="34" spans="1:9" s="687" customFormat="1" ht="30" customHeight="1" x14ac:dyDescent="0.35">
      <c r="A34" s="1433"/>
      <c r="B34" s="1439"/>
      <c r="C34" s="1727" t="s">
        <v>92</v>
      </c>
      <c r="D34" s="1727"/>
      <c r="E34" s="1727"/>
      <c r="F34" s="1445"/>
      <c r="G34" s="1437"/>
      <c r="H34" s="87"/>
      <c r="I34" s="87"/>
    </row>
    <row r="35" spans="1:9" s="687" customFormat="1" x14ac:dyDescent="0.35">
      <c r="A35" s="1433"/>
      <c r="B35" s="1439"/>
      <c r="C35" s="1540"/>
      <c r="D35" s="1541"/>
      <c r="E35" s="1541"/>
      <c r="F35" s="1445"/>
      <c r="G35" s="1437"/>
      <c r="I35" s="87"/>
    </row>
    <row r="36" spans="1:9" s="687" customFormat="1" x14ac:dyDescent="0.35">
      <c r="A36" s="1433"/>
      <c r="B36" s="1439"/>
      <c r="C36" s="1726" t="s">
        <v>93</v>
      </c>
      <c r="D36" s="1726"/>
      <c r="E36" s="1726"/>
      <c r="F36" s="1445"/>
      <c r="G36" s="1437"/>
      <c r="I36" s="87"/>
    </row>
    <row r="37" spans="1:9" s="687" customFormat="1" ht="45.75" customHeight="1" x14ac:dyDescent="0.35">
      <c r="A37" s="1433"/>
      <c r="B37" s="1439"/>
      <c r="C37" s="1727" t="s">
        <v>94</v>
      </c>
      <c r="D37" s="1727"/>
      <c r="E37" s="1727"/>
      <c r="F37" s="1445"/>
      <c r="G37" s="1437"/>
      <c r="I37" s="87"/>
    </row>
    <row r="38" spans="1:9" s="687" customFormat="1" x14ac:dyDescent="0.35">
      <c r="A38" s="1433"/>
      <c r="B38" s="1439"/>
      <c r="C38" s="1722"/>
      <c r="D38" s="1722"/>
      <c r="E38" s="1722"/>
      <c r="F38" s="1445"/>
      <c r="G38" s="1437"/>
      <c r="I38" s="87"/>
    </row>
    <row r="39" spans="1:9" s="687" customFormat="1" ht="15" customHeight="1" x14ac:dyDescent="0.35">
      <c r="A39" s="1433"/>
      <c r="B39" s="1439"/>
      <c r="C39" s="1722" t="s">
        <v>95</v>
      </c>
      <c r="D39" s="1722"/>
      <c r="E39" s="1722"/>
      <c r="F39" s="1445"/>
      <c r="G39" s="1437"/>
      <c r="H39" s="87"/>
      <c r="I39" s="87"/>
    </row>
    <row r="40" spans="1:9" s="687" customFormat="1" ht="35.25" customHeight="1" x14ac:dyDescent="0.35">
      <c r="A40" s="1433"/>
      <c r="B40" s="1439"/>
      <c r="C40" s="1727" t="s">
        <v>96</v>
      </c>
      <c r="D40" s="1727"/>
      <c r="E40" s="1727"/>
      <c r="F40" s="1445"/>
      <c r="G40" s="1437"/>
      <c r="H40" s="87"/>
      <c r="I40" s="87"/>
    </row>
    <row r="41" spans="1:9" s="687" customFormat="1" x14ac:dyDescent="0.35">
      <c r="A41" s="1433"/>
      <c r="B41" s="1439"/>
      <c r="C41" s="1688"/>
      <c r="D41" s="1687"/>
      <c r="E41" s="1687"/>
      <c r="F41" s="1445"/>
      <c r="G41" s="1437"/>
      <c r="H41" s="87"/>
      <c r="I41" s="87"/>
    </row>
    <row r="42" spans="1:9" s="687" customFormat="1" x14ac:dyDescent="0.35">
      <c r="A42" s="1433"/>
      <c r="B42" s="1439"/>
      <c r="C42" s="1722" t="s">
        <v>97</v>
      </c>
      <c r="D42" s="1722"/>
      <c r="E42" s="1722"/>
      <c r="F42" s="1445"/>
      <c r="G42" s="1437"/>
      <c r="H42" s="87"/>
      <c r="I42" s="87"/>
    </row>
    <row r="43" spans="1:9" s="687" customFormat="1" ht="74.25" customHeight="1" x14ac:dyDescent="0.35">
      <c r="A43" s="1433"/>
      <c r="B43" s="1439"/>
      <c r="C43" s="1727" t="s">
        <v>98</v>
      </c>
      <c r="D43" s="1727"/>
      <c r="E43" s="1727"/>
      <c r="F43" s="1445"/>
      <c r="G43" s="1437"/>
      <c r="H43" s="87"/>
      <c r="I43" s="87"/>
    </row>
    <row r="44" spans="1:9" s="687" customFormat="1" x14ac:dyDescent="0.35">
      <c r="A44" s="1433"/>
      <c r="B44" s="1439"/>
      <c r="C44" s="1722"/>
      <c r="D44" s="1722"/>
      <c r="E44" s="1722"/>
      <c r="F44" s="1445"/>
      <c r="G44" s="1437"/>
      <c r="H44" s="87"/>
      <c r="I44" s="87"/>
    </row>
    <row r="45" spans="1:9" s="687" customFormat="1" x14ac:dyDescent="0.35">
      <c r="A45" s="1433"/>
      <c r="B45" s="1439"/>
      <c r="C45" s="1722" t="s">
        <v>99</v>
      </c>
      <c r="D45" s="1722"/>
      <c r="E45" s="1722"/>
      <c r="F45" s="1445"/>
      <c r="G45" s="1437"/>
      <c r="H45" s="87"/>
      <c r="I45" s="87"/>
    </row>
    <row r="46" spans="1:9" s="687" customFormat="1" ht="29.25" customHeight="1" x14ac:dyDescent="0.35">
      <c r="A46" s="1433"/>
      <c r="B46" s="1439"/>
      <c r="C46" s="1723" t="s">
        <v>100</v>
      </c>
      <c r="D46" s="1723"/>
      <c r="E46" s="1723"/>
      <c r="F46" s="1445"/>
      <c r="G46" s="1437"/>
      <c r="H46" s="87"/>
      <c r="I46" s="87"/>
    </row>
    <row r="47" spans="1:9" ht="18.5" x14ac:dyDescent="0.45">
      <c r="A47" s="1433"/>
      <c r="B47" s="1439"/>
      <c r="C47" s="1439"/>
      <c r="D47" s="1441"/>
      <c r="E47" s="1441"/>
      <c r="F47" s="1439"/>
      <c r="G47" s="1433"/>
      <c r="H47" s="87"/>
      <c r="I47" s="87"/>
    </row>
    <row r="48" spans="1:9" x14ac:dyDescent="0.35">
      <c r="A48" s="1433"/>
      <c r="B48" s="1433"/>
      <c r="C48" s="1433"/>
      <c r="D48" s="1433"/>
      <c r="E48" s="1433"/>
      <c r="F48" s="1433"/>
      <c r="G48" s="1433"/>
      <c r="H48" s="87"/>
      <c r="I48" s="87"/>
    </row>
    <row r="49" spans="1:9" x14ac:dyDescent="0.35">
      <c r="A49" s="1433"/>
      <c r="B49" s="1433"/>
      <c r="C49" s="1433"/>
      <c r="D49" s="1433"/>
      <c r="E49" s="1433"/>
      <c r="F49" s="1433"/>
      <c r="G49" s="1433"/>
      <c r="H49" s="87"/>
      <c r="I49" s="87"/>
    </row>
    <row r="50" spans="1:9" ht="22.5" x14ac:dyDescent="0.45">
      <c r="A50" s="1433"/>
      <c r="B50" s="1458" t="s">
        <v>101</v>
      </c>
      <c r="C50" s="1459"/>
      <c r="D50" s="1459"/>
      <c r="E50" s="1459"/>
      <c r="F50" s="1460"/>
      <c r="G50" s="1499"/>
      <c r="H50" s="1496"/>
      <c r="I50" s="1496"/>
    </row>
    <row r="51" spans="1:9" s="687" customFormat="1" ht="18" customHeight="1" x14ac:dyDescent="0.45">
      <c r="A51" s="1433"/>
      <c r="B51" s="1458"/>
      <c r="C51" s="1459"/>
      <c r="D51" s="1498"/>
      <c r="E51" s="1644"/>
      <c r="F51" s="1460"/>
      <c r="G51" s="1499"/>
      <c r="H51" s="1496"/>
      <c r="I51" s="1496"/>
    </row>
    <row r="52" spans="1:9" s="687" customFormat="1" ht="18" customHeight="1" x14ac:dyDescent="0.45">
      <c r="A52" s="1433"/>
      <c r="B52" s="1458"/>
      <c r="C52" s="1650" t="s">
        <v>102</v>
      </c>
      <c r="D52" s="1651" t="s">
        <v>103</v>
      </c>
      <c r="E52" s="1652" t="s">
        <v>104</v>
      </c>
      <c r="F52" s="1460"/>
      <c r="G52" s="1499"/>
      <c r="H52" s="1496"/>
      <c r="I52" s="1496"/>
    </row>
    <row r="53" spans="1:9" x14ac:dyDescent="0.35">
      <c r="A53" s="1433"/>
      <c r="B53" s="1439"/>
      <c r="C53" s="1636" t="s">
        <v>105</v>
      </c>
      <c r="D53" s="1637" t="s">
        <v>106</v>
      </c>
      <c r="E53" s="1645"/>
      <c r="F53" s="1464"/>
      <c r="G53" s="1501"/>
      <c r="H53" s="87"/>
      <c r="I53" s="87"/>
    </row>
    <row r="54" spans="1:9" ht="58" x14ac:dyDescent="0.35">
      <c r="A54" s="1433"/>
      <c r="B54" s="1439"/>
      <c r="C54" s="1640" t="s">
        <v>107</v>
      </c>
      <c r="D54" s="1637" t="s">
        <v>108</v>
      </c>
      <c r="E54" s="1648" t="s">
        <v>109</v>
      </c>
      <c r="F54" s="1464"/>
      <c r="G54" s="1501"/>
      <c r="H54" s="87"/>
      <c r="I54" s="87"/>
    </row>
    <row r="55" spans="1:9" ht="58" x14ac:dyDescent="0.35">
      <c r="A55" s="1433"/>
      <c r="B55" s="1439"/>
      <c r="C55" s="1640" t="s">
        <v>110</v>
      </c>
      <c r="D55" s="1637" t="s">
        <v>111</v>
      </c>
      <c r="E55" s="1654" t="s">
        <v>112</v>
      </c>
      <c r="F55" s="1464"/>
      <c r="G55" s="1501"/>
      <c r="H55" s="87"/>
      <c r="I55" s="87"/>
    </row>
    <row r="56" spans="1:9" ht="43.5" x14ac:dyDescent="0.35">
      <c r="A56" s="1433"/>
      <c r="B56" s="1439"/>
      <c r="C56" s="1636" t="s">
        <v>113</v>
      </c>
      <c r="D56" s="1647" t="s">
        <v>114</v>
      </c>
      <c r="E56" s="1647"/>
      <c r="F56" s="1464"/>
      <c r="G56" s="1501"/>
      <c r="H56" s="87"/>
      <c r="I56" s="87"/>
    </row>
    <row r="57" spans="1:9" ht="18" customHeight="1" x14ac:dyDescent="0.35">
      <c r="A57" s="1433"/>
      <c r="B57" s="1439"/>
      <c r="C57" s="1639" t="s">
        <v>115</v>
      </c>
      <c r="D57" s="1653" t="s">
        <v>116</v>
      </c>
      <c r="E57" s="1649"/>
      <c r="F57" s="1445"/>
      <c r="G57" s="1437"/>
      <c r="H57" s="87"/>
      <c r="I57" s="87"/>
    </row>
    <row r="58" spans="1:9" s="687" customFormat="1" ht="18" customHeight="1" x14ac:dyDescent="0.35">
      <c r="A58" s="1433"/>
      <c r="B58" s="1439"/>
      <c r="C58" s="1639" t="s">
        <v>117</v>
      </c>
      <c r="D58" s="1653" t="s">
        <v>118</v>
      </c>
      <c r="E58" s="1649"/>
      <c r="F58" s="1445"/>
      <c r="G58" s="1437"/>
      <c r="H58" s="87"/>
      <c r="I58" s="87"/>
    </row>
    <row r="59" spans="1:9" s="687" customFormat="1" ht="43.5" x14ac:dyDescent="0.35">
      <c r="A59" s="1433"/>
      <c r="B59" s="1439"/>
      <c r="C59" s="1638" t="s">
        <v>119</v>
      </c>
      <c r="D59" s="1637" t="s">
        <v>120</v>
      </c>
      <c r="E59" s="1648" t="s">
        <v>121</v>
      </c>
      <c r="F59" s="1445"/>
      <c r="G59" s="1437"/>
      <c r="H59" s="87"/>
      <c r="I59" s="87"/>
    </row>
    <row r="60" spans="1:9" s="687" customFormat="1" ht="58" x14ac:dyDescent="0.35">
      <c r="A60" s="1433"/>
      <c r="B60" s="1439"/>
      <c r="C60" s="1636" t="s">
        <v>122</v>
      </c>
      <c r="D60" s="1653" t="s">
        <v>123</v>
      </c>
      <c r="E60" s="1643" t="s">
        <v>124</v>
      </c>
      <c r="F60" s="1445"/>
      <c r="G60" s="1437"/>
      <c r="H60" s="87"/>
      <c r="I60" s="87"/>
    </row>
    <row r="61" spans="1:9" ht="18" customHeight="1" x14ac:dyDescent="0.35">
      <c r="A61" s="1433"/>
      <c r="B61" s="1439"/>
      <c r="C61" s="1639" t="s">
        <v>125</v>
      </c>
      <c r="D61" s="1637" t="s">
        <v>126</v>
      </c>
      <c r="E61" s="1645"/>
      <c r="F61" s="1445"/>
      <c r="G61" s="1437"/>
      <c r="H61" s="87"/>
      <c r="I61" s="87"/>
    </row>
    <row r="62" spans="1:9" s="687" customFormat="1" ht="29" x14ac:dyDescent="0.35">
      <c r="A62" s="1433"/>
      <c r="B62" s="1439"/>
      <c r="C62" s="1636" t="s">
        <v>127</v>
      </c>
      <c r="D62" s="1637" t="s">
        <v>128</v>
      </c>
      <c r="E62" s="1645"/>
      <c r="F62" s="1445"/>
      <c r="G62" s="1437"/>
      <c r="H62" s="87"/>
      <c r="I62" s="87"/>
    </row>
    <row r="63" spans="1:9" s="687" customFormat="1" x14ac:dyDescent="0.35">
      <c r="A63" s="1433"/>
      <c r="B63" s="1439"/>
      <c r="C63" s="1636" t="s">
        <v>129</v>
      </c>
      <c r="D63" s="1637" t="s">
        <v>130</v>
      </c>
      <c r="E63" s="1645"/>
      <c r="F63" s="1445"/>
      <c r="G63" s="1437"/>
      <c r="H63" s="87"/>
      <c r="I63" s="87"/>
    </row>
    <row r="64" spans="1:9" s="687" customFormat="1" ht="18" customHeight="1" x14ac:dyDescent="0.35">
      <c r="A64" s="1433"/>
      <c r="B64" s="1439"/>
      <c r="C64" s="1636" t="s">
        <v>131</v>
      </c>
      <c r="D64" s="1637" t="s">
        <v>132</v>
      </c>
      <c r="E64" s="1645"/>
      <c r="F64" s="1445"/>
      <c r="G64" s="1437"/>
      <c r="H64" s="87"/>
      <c r="I64" s="87"/>
    </row>
    <row r="65" spans="1:9" s="687" customFormat="1" ht="18" customHeight="1" x14ac:dyDescent="0.35">
      <c r="A65" s="1433"/>
      <c r="B65" s="1439"/>
      <c r="C65" s="1640" t="s">
        <v>133</v>
      </c>
      <c r="D65" s="1637" t="s">
        <v>134</v>
      </c>
      <c r="E65" s="1645"/>
      <c r="F65" s="1445"/>
      <c r="G65" s="1437"/>
      <c r="H65" s="87"/>
      <c r="I65" s="87"/>
    </row>
    <row r="66" spans="1:9" s="687" customFormat="1" ht="29" x14ac:dyDescent="0.35">
      <c r="A66" s="1433"/>
      <c r="B66" s="1439"/>
      <c r="C66" s="1636" t="s">
        <v>135</v>
      </c>
      <c r="D66" s="1637" t="s">
        <v>136</v>
      </c>
      <c r="E66" s="1645"/>
      <c r="F66" s="1445"/>
      <c r="G66" s="1437"/>
      <c r="H66" s="87"/>
      <c r="I66" s="87"/>
    </row>
    <row r="67" spans="1:9" s="687" customFormat="1" ht="18" customHeight="1" x14ac:dyDescent="0.35">
      <c r="A67" s="1433"/>
      <c r="B67" s="1439"/>
      <c r="C67" s="1639" t="s">
        <v>137</v>
      </c>
      <c r="D67" s="1637" t="s">
        <v>138</v>
      </c>
      <c r="E67" s="1649" t="s">
        <v>139</v>
      </c>
      <c r="F67" s="1445"/>
      <c r="G67" s="1437"/>
      <c r="H67" s="87"/>
      <c r="I67" s="87"/>
    </row>
    <row r="68" spans="1:9" s="687" customFormat="1" ht="18" customHeight="1" x14ac:dyDescent="0.35">
      <c r="A68" s="1433"/>
      <c r="B68" s="1439"/>
      <c r="C68" s="1639" t="s">
        <v>140</v>
      </c>
      <c r="D68" s="1637" t="s">
        <v>141</v>
      </c>
      <c r="E68" s="1649" t="s">
        <v>139</v>
      </c>
      <c r="F68" s="1445"/>
      <c r="G68" s="1437"/>
      <c r="H68" s="87"/>
      <c r="I68" s="87"/>
    </row>
    <row r="69" spans="1:9" s="687" customFormat="1" ht="43.5" x14ac:dyDescent="0.35">
      <c r="A69" s="1433"/>
      <c r="B69" s="1439"/>
      <c r="C69" s="1639" t="s">
        <v>142</v>
      </c>
      <c r="D69" s="1637" t="s">
        <v>143</v>
      </c>
      <c r="E69" s="1649" t="s">
        <v>139</v>
      </c>
      <c r="F69" s="1445"/>
      <c r="G69" s="1437"/>
      <c r="H69" s="87"/>
      <c r="I69" s="87"/>
    </row>
    <row r="70" spans="1:9" ht="29" x14ac:dyDescent="0.35">
      <c r="A70" s="1433"/>
      <c r="B70" s="1530"/>
      <c r="C70" s="1639" t="s">
        <v>144</v>
      </c>
      <c r="D70" s="1637" t="s">
        <v>145</v>
      </c>
      <c r="E70" s="1648" t="s">
        <v>146</v>
      </c>
      <c r="F70" s="1530"/>
      <c r="G70" s="1433"/>
      <c r="H70" s="87"/>
      <c r="I70" s="87"/>
    </row>
    <row r="71" spans="1:9" ht="18" customHeight="1" x14ac:dyDescent="0.35">
      <c r="A71" s="1433"/>
      <c r="B71" s="1530"/>
      <c r="C71" s="1640"/>
      <c r="D71" s="1641"/>
      <c r="E71" s="1646"/>
      <c r="F71" s="1530"/>
      <c r="G71" s="1433"/>
      <c r="H71" s="687"/>
      <c r="I71" s="687"/>
    </row>
    <row r="72" spans="1:9" ht="18" customHeight="1" x14ac:dyDescent="0.35">
      <c r="A72" s="1433"/>
      <c r="B72" s="1433"/>
      <c r="C72" s="1433"/>
      <c r="D72" s="1433"/>
      <c r="E72" s="1433"/>
      <c r="F72" s="1433"/>
      <c r="G72" s="1433"/>
      <c r="H72" s="687"/>
      <c r="I72" s="687"/>
    </row>
    <row r="73" spans="1:9" ht="16" thickBot="1" x14ac:dyDescent="0.4">
      <c r="A73" s="1433"/>
      <c r="B73" s="1466"/>
      <c r="C73" s="1467"/>
      <c r="D73" s="1467"/>
      <c r="E73" s="1467"/>
      <c r="F73" s="1539" t="s">
        <v>72</v>
      </c>
      <c r="G73" s="1433"/>
      <c r="H73" s="687"/>
      <c r="I73" s="687"/>
    </row>
    <row r="74" spans="1:9" ht="24" customHeight="1" thickTop="1" x14ac:dyDescent="0.35">
      <c r="A74" s="687"/>
      <c r="B74" s="1433"/>
      <c r="C74" s="1433"/>
      <c r="D74" s="1433"/>
      <c r="E74" s="1433"/>
      <c r="F74" s="1433"/>
      <c r="G74" s="1433"/>
      <c r="H74" s="687"/>
      <c r="I74" s="687"/>
    </row>
  </sheetData>
  <sheetProtection algorithmName="SHA-512" hashValue="Q4xtUKFZKB3qkxNYPRDDqta9Mdu82+J5LiQXSnUUkEmrTgkAGpnY/LFbANDTjqWXsmU/tC861AkvF8Cc6tvWCw==" saltValue="7H78h7cACgUlyB0F1xfQLQ==" spinCount="100000" sheet="1" objects="1" scenarios="1"/>
  <mergeCells count="30">
    <mergeCell ref="C36:E36"/>
    <mergeCell ref="C33:E33"/>
    <mergeCell ref="C34:E34"/>
    <mergeCell ref="C31:E31"/>
    <mergeCell ref="C22:E22"/>
    <mergeCell ref="C24:E24"/>
    <mergeCell ref="C25:E25"/>
    <mergeCell ref="C27:E27"/>
    <mergeCell ref="C28:E28"/>
    <mergeCell ref="C30:E30"/>
    <mergeCell ref="C42:E42"/>
    <mergeCell ref="C37:E37"/>
    <mergeCell ref="C38:E38"/>
    <mergeCell ref="C46:E46"/>
    <mergeCell ref="C39:E39"/>
    <mergeCell ref="C44:E44"/>
    <mergeCell ref="C45:E45"/>
    <mergeCell ref="C43:E43"/>
    <mergeCell ref="C40:E40"/>
    <mergeCell ref="C6:E6"/>
    <mergeCell ref="C7:E7"/>
    <mergeCell ref="C18:E18"/>
    <mergeCell ref="C19:E19"/>
    <mergeCell ref="C21:E21"/>
    <mergeCell ref="C9:E9"/>
    <mergeCell ref="C10:E10"/>
    <mergeCell ref="C12:E12"/>
    <mergeCell ref="C13:E13"/>
    <mergeCell ref="C15:E15"/>
    <mergeCell ref="C16:E16"/>
  </mergeCells>
  <hyperlinks>
    <hyperlink ref="E68" location="'Ref-GHG Protocol Scopes'!A1" display="See tab &quot;Ref-GHG Protocol Scopes&quot;" xr:uid="{2756FE2B-4D95-48C2-A640-8BB63D85486B}"/>
    <hyperlink ref="E67" location="'Ref-GHG Protocol Scopes'!A1" display="See tab &quot;Ref-GHG Protocol Scopes&quot;" xr:uid="{B8260FEF-F094-4CD9-90C7-1FE42953AE9D}"/>
    <hyperlink ref="E69" location="'Ref-GHG Protocol Scopes'!A1" display="See tab &quot;Ref-GHG Protocol Scopes&quot;" xr:uid="{CF310980-2924-4A31-B845-D6B235418AFA}"/>
    <hyperlink ref="E70" r:id="rId1" xr:uid="{588039CD-484B-4550-89A7-9E23CC2F39CD}"/>
    <hyperlink ref="E54" r:id="rId2" xr:uid="{FFBA9A4A-DF3F-447C-8F8C-3A747F88D9C8}"/>
    <hyperlink ref="E59" r:id="rId3" xr:uid="{B34546CA-2968-4DDF-BD02-3B0D78A21AB8}"/>
    <hyperlink ref="E60" r:id="rId4" xr:uid="{591ED7B2-E62F-415A-87D8-02AB86B88B4C}"/>
    <hyperlink ref="E55" r:id="rId5" xr:uid="{5AA99CF8-5679-4C9C-A530-3365EE339A1B}"/>
  </hyperlinks>
  <pageMargins left="0.7" right="0.7" top="0.75" bottom="0.75" header="0.3" footer="0.3"/>
  <pageSetup orientation="portrait" r:id="rId6"/>
  <drawing r:id="rId7"/>
  <tableParts count="1">
    <tablePart r:id="rId8"/>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FFC000"/>
  </sheetPr>
  <dimension ref="A1:P138"/>
  <sheetViews>
    <sheetView zoomScale="115" zoomScaleNormal="115" workbookViewId="0">
      <selection activeCell="A2" sqref="A2"/>
    </sheetView>
  </sheetViews>
  <sheetFormatPr defaultColWidth="11.453125" defaultRowHeight="14.5" x14ac:dyDescent="0.35"/>
  <cols>
    <col min="1" max="1" width="5.1796875" style="687" customWidth="1"/>
    <col min="2" max="2" width="24.26953125" customWidth="1"/>
    <col min="3" max="3" width="49.7265625" bestFit="1" customWidth="1"/>
    <col min="4" max="4" width="18" customWidth="1"/>
    <col min="6" max="6" width="15" bestFit="1" customWidth="1"/>
    <col min="7" max="7" width="16.1796875" bestFit="1" customWidth="1"/>
    <col min="9" max="9" width="12.1796875" bestFit="1" customWidth="1"/>
  </cols>
  <sheetData>
    <row r="1" spans="1:11" ht="21.5" thickBot="1" x14ac:dyDescent="0.55000000000000004">
      <c r="A1" s="1925" t="s">
        <v>862</v>
      </c>
      <c r="B1" s="1926"/>
      <c r="C1" s="1926"/>
      <c r="D1" s="1927"/>
      <c r="E1" s="687"/>
      <c r="F1" s="687"/>
      <c r="G1" s="687"/>
      <c r="H1" s="687"/>
      <c r="I1" s="687"/>
      <c r="J1" s="687"/>
      <c r="K1" s="687"/>
    </row>
    <row r="2" spans="1:11" x14ac:dyDescent="0.35">
      <c r="B2" s="687"/>
      <c r="C2" s="687"/>
      <c r="D2" s="687"/>
      <c r="E2" s="687"/>
      <c r="F2" s="687"/>
      <c r="G2" s="687"/>
      <c r="H2" s="687"/>
      <c r="I2" s="687"/>
      <c r="J2" s="687"/>
      <c r="K2" s="687"/>
    </row>
    <row r="3" spans="1:11" s="5" customFormat="1" ht="15" customHeight="1" x14ac:dyDescent="0.35">
      <c r="B3" s="1558" t="s">
        <v>265</v>
      </c>
      <c r="C3" s="1617" t="s">
        <v>432</v>
      </c>
      <c r="D3" s="1552"/>
      <c r="E3" s="1550"/>
      <c r="F3" s="687"/>
      <c r="G3" s="687"/>
      <c r="H3" s="687"/>
      <c r="I3" s="687"/>
      <c r="J3" s="687"/>
      <c r="K3" s="146"/>
    </row>
    <row r="4" spans="1:11" s="5" customFormat="1" ht="15" customHeight="1" x14ac:dyDescent="0.35">
      <c r="A4" s="44"/>
      <c r="B4" s="1667" t="s">
        <v>268</v>
      </c>
      <c r="C4" s="1550" t="s">
        <v>264</v>
      </c>
      <c r="D4" s="44"/>
      <c r="E4" s="1671"/>
      <c r="F4" s="1671"/>
      <c r="G4" s="1671"/>
      <c r="H4" s="687"/>
      <c r="I4" s="687"/>
      <c r="J4" s="687"/>
      <c r="K4" s="146"/>
    </row>
    <row r="5" spans="1:11" s="5" customFormat="1" ht="23.15" customHeight="1" x14ac:dyDescent="0.35">
      <c r="A5" s="44"/>
      <c r="B5" s="1547"/>
      <c r="C5" s="1939" t="s">
        <v>863</v>
      </c>
      <c r="D5" s="1939"/>
      <c r="E5" s="1671"/>
      <c r="F5" s="1671"/>
      <c r="G5" s="1671"/>
      <c r="H5" s="687"/>
      <c r="I5" s="687"/>
      <c r="J5" s="687"/>
      <c r="K5" s="146"/>
    </row>
    <row r="6" spans="1:11" s="456" customFormat="1" ht="23.15" customHeight="1" thickBot="1" x14ac:dyDescent="0.4">
      <c r="A6" s="687"/>
      <c r="B6" s="687"/>
      <c r="C6" s="1939"/>
      <c r="D6" s="1939"/>
      <c r="E6" s="1671"/>
      <c r="F6" s="1671"/>
      <c r="G6" s="1671"/>
      <c r="H6" s="687"/>
      <c r="I6" s="687"/>
      <c r="J6" s="687"/>
      <c r="K6" s="687"/>
    </row>
    <row r="7" spans="1:11" ht="16" customHeight="1" thickBot="1" x14ac:dyDescent="0.4">
      <c r="A7" s="843" t="str">
        <f>(brew1_abb&amp;" Glass Data")</f>
        <v>MAIN Glass Data</v>
      </c>
      <c r="B7" s="892"/>
      <c r="C7" s="225"/>
      <c r="D7" s="187"/>
      <c r="E7" s="1671"/>
      <c r="F7" s="1671"/>
      <c r="G7" s="1671"/>
      <c r="H7" s="687"/>
      <c r="I7" s="687"/>
      <c r="J7" s="687"/>
      <c r="K7" s="687"/>
    </row>
    <row r="8" spans="1:11" ht="15" thickBot="1" x14ac:dyDescent="0.4">
      <c r="A8" s="810"/>
      <c r="B8" s="1841" t="s">
        <v>864</v>
      </c>
      <c r="C8" s="1843"/>
      <c r="D8" s="893"/>
      <c r="E8" s="882"/>
      <c r="F8" s="891"/>
      <c r="G8" s="689"/>
      <c r="H8" s="687"/>
      <c r="I8" s="687"/>
      <c r="J8" s="687"/>
      <c r="K8" s="687"/>
    </row>
    <row r="9" spans="1:11" s="456" customFormat="1" x14ac:dyDescent="0.35">
      <c r="A9" s="49"/>
      <c r="B9" s="566">
        <v>11573100</v>
      </c>
      <c r="C9" s="500" t="s">
        <v>865</v>
      </c>
      <c r="D9" s="894"/>
      <c r="E9" s="882"/>
      <c r="F9" s="891"/>
      <c r="G9" s="689"/>
      <c r="H9" s="687"/>
      <c r="I9" s="687"/>
      <c r="J9" s="687"/>
      <c r="K9" s="687"/>
    </row>
    <row r="10" spans="1:11" x14ac:dyDescent="0.35">
      <c r="A10" s="49"/>
      <c r="B10" s="1627">
        <v>0.245</v>
      </c>
      <c r="C10" s="20" t="s">
        <v>866</v>
      </c>
      <c r="D10" s="20"/>
      <c r="E10" s="882"/>
      <c r="F10" s="891"/>
      <c r="G10" s="1288"/>
      <c r="H10" s="687"/>
      <c r="I10" s="687"/>
      <c r="J10" s="687"/>
      <c r="K10" s="687"/>
    </row>
    <row r="11" spans="1:11" s="678" customFormat="1" x14ac:dyDescent="0.35">
      <c r="A11" s="49"/>
      <c r="B11" s="571">
        <f>'Brewery-Control Data'!$C$61</f>
        <v>195.49799999999999</v>
      </c>
      <c r="C11" s="20" t="s">
        <v>867</v>
      </c>
      <c r="D11" s="20"/>
      <c r="E11" s="882"/>
      <c r="F11" s="891"/>
      <c r="G11" s="689"/>
      <c r="H11" s="687"/>
      <c r="I11" s="687"/>
      <c r="J11" s="687"/>
      <c r="K11" s="687"/>
    </row>
    <row r="12" spans="1:11" s="678" customFormat="1" x14ac:dyDescent="0.35">
      <c r="A12" s="49"/>
      <c r="B12" s="1628">
        <f>B10/B11</f>
        <v>1.2532097515064093E-3</v>
      </c>
      <c r="C12" s="20" t="s">
        <v>868</v>
      </c>
      <c r="D12" s="20"/>
      <c r="E12" s="882"/>
      <c r="F12" s="891"/>
      <c r="G12" s="689"/>
      <c r="H12" s="687"/>
      <c r="I12" s="687"/>
      <c r="J12" s="687"/>
      <c r="K12" s="687"/>
    </row>
    <row r="13" spans="1:11" s="678" customFormat="1" x14ac:dyDescent="0.35">
      <c r="A13" s="49"/>
      <c r="B13" s="1629">
        <f>B12*1000</f>
        <v>1.2532097515064093</v>
      </c>
      <c r="C13" s="501" t="s">
        <v>869</v>
      </c>
      <c r="D13" s="20"/>
      <c r="E13" s="882"/>
      <c r="F13" s="891"/>
      <c r="G13" s="689"/>
      <c r="H13" s="687"/>
      <c r="I13" s="687"/>
      <c r="J13" s="687"/>
      <c r="K13" s="687"/>
    </row>
    <row r="14" spans="1:11" ht="15" customHeight="1" thickBot="1" x14ac:dyDescent="0.4">
      <c r="A14" s="49"/>
      <c r="B14" s="898">
        <f>B9*B10</f>
        <v>2835409.5</v>
      </c>
      <c r="C14" s="502" t="s">
        <v>870</v>
      </c>
      <c r="D14" s="20"/>
      <c r="E14" s="689"/>
      <c r="F14" s="689"/>
      <c r="G14" s="689"/>
      <c r="H14" s="687"/>
      <c r="I14" s="687"/>
      <c r="J14" s="687"/>
      <c r="K14" s="687"/>
    </row>
    <row r="15" spans="1:11" ht="15" thickBot="1" x14ac:dyDescent="0.4">
      <c r="A15" s="49"/>
      <c r="B15" s="550">
        <f>'Brewery-Control Data'!$B$10</f>
        <v>123215.153565</v>
      </c>
      <c r="C15" s="620" t="s">
        <v>871</v>
      </c>
      <c r="D15" s="20"/>
      <c r="E15" s="689"/>
      <c r="F15" s="689"/>
      <c r="G15" s="689"/>
      <c r="H15" s="687"/>
      <c r="I15" s="687"/>
      <c r="J15" s="687"/>
      <c r="K15" s="687"/>
    </row>
    <row r="16" spans="1:11" ht="15" thickBot="1" x14ac:dyDescent="0.4">
      <c r="A16" s="49"/>
      <c r="B16" s="619">
        <f>B14/B15</f>
        <v>23.01185704812054</v>
      </c>
      <c r="C16" s="610" t="s">
        <v>872</v>
      </c>
      <c r="D16" s="20"/>
      <c r="E16" s="689"/>
      <c r="F16" s="689"/>
      <c r="G16" s="689"/>
      <c r="H16" s="687"/>
      <c r="I16" s="100"/>
      <c r="J16" s="687"/>
      <c r="K16" s="687"/>
    </row>
    <row r="17" spans="1:11" ht="15" thickBot="1" x14ac:dyDescent="0.4">
      <c r="A17" s="49"/>
      <c r="B17" s="689"/>
      <c r="C17" s="689"/>
      <c r="D17" s="20"/>
      <c r="E17" s="689"/>
      <c r="F17" s="689"/>
      <c r="G17" s="689"/>
      <c r="H17" s="687"/>
      <c r="I17" s="687"/>
      <c r="J17" s="687"/>
      <c r="K17" s="687"/>
    </row>
    <row r="18" spans="1:11" s="687" customFormat="1" ht="15" thickBot="1" x14ac:dyDescent="0.4">
      <c r="A18" s="49"/>
      <c r="B18" s="1841" t="s">
        <v>873</v>
      </c>
      <c r="C18" s="1843"/>
      <c r="D18" s="20"/>
      <c r="E18" s="689"/>
      <c r="F18" s="689"/>
      <c r="G18" s="689"/>
    </row>
    <row r="19" spans="1:11" s="687" customFormat="1" x14ac:dyDescent="0.35">
      <c r="A19" s="49"/>
      <c r="B19" s="566">
        <v>0</v>
      </c>
      <c r="C19" s="500" t="s">
        <v>865</v>
      </c>
      <c r="D19" s="20"/>
      <c r="E19" s="689"/>
      <c r="F19" s="689"/>
      <c r="G19" s="689"/>
    </row>
    <row r="20" spans="1:11" s="687" customFormat="1" x14ac:dyDescent="0.35">
      <c r="A20" s="49"/>
      <c r="B20" s="1630">
        <f>B10*(B21/B11)</f>
        <v>0.46157845604558617</v>
      </c>
      <c r="C20" s="20" t="s">
        <v>874</v>
      </c>
      <c r="D20" s="20"/>
      <c r="E20" s="689"/>
      <c r="F20" s="689"/>
      <c r="G20" s="689"/>
    </row>
    <row r="21" spans="1:11" s="687" customFormat="1" x14ac:dyDescent="0.35">
      <c r="A21" s="49"/>
      <c r="B21" s="571">
        <f>'Brewery-Control Data'!$C$62</f>
        <v>368.31700000000001</v>
      </c>
      <c r="C21" s="20" t="s">
        <v>867</v>
      </c>
      <c r="D21" s="20"/>
      <c r="E21" s="689"/>
      <c r="F21" s="689"/>
      <c r="G21" s="689"/>
    </row>
    <row r="22" spans="1:11" s="687" customFormat="1" x14ac:dyDescent="0.35">
      <c r="A22" s="49"/>
      <c r="B22" s="1628">
        <f>B20/B21</f>
        <v>1.2532097515064093E-3</v>
      </c>
      <c r="C22" s="20" t="s">
        <v>868</v>
      </c>
      <c r="D22" s="20"/>
      <c r="E22" s="689"/>
      <c r="F22" s="689"/>
      <c r="G22" s="689"/>
    </row>
    <row r="23" spans="1:11" s="687" customFormat="1" x14ac:dyDescent="0.35">
      <c r="A23" s="49"/>
      <c r="B23" s="1629">
        <f>B22*1000</f>
        <v>1.2532097515064093</v>
      </c>
      <c r="C23" s="501" t="s">
        <v>869</v>
      </c>
      <c r="D23" s="20"/>
      <c r="E23" s="689"/>
      <c r="F23" s="689"/>
      <c r="G23" s="689"/>
    </row>
    <row r="24" spans="1:11" s="687" customFormat="1" ht="15" thickBot="1" x14ac:dyDescent="0.4">
      <c r="A24" s="49"/>
      <c r="B24" s="898">
        <f>B19*B20</f>
        <v>0</v>
      </c>
      <c r="C24" s="502" t="s">
        <v>870</v>
      </c>
      <c r="D24" s="20"/>
      <c r="E24" s="689"/>
      <c r="F24" s="689"/>
      <c r="G24" s="689"/>
    </row>
    <row r="25" spans="1:11" s="687" customFormat="1" ht="15" thickBot="1" x14ac:dyDescent="0.4">
      <c r="A25" s="49"/>
      <c r="B25" s="550">
        <f>'Brewery-Control Data'!$B$10</f>
        <v>123215.153565</v>
      </c>
      <c r="C25" s="620" t="s">
        <v>871</v>
      </c>
      <c r="D25" s="20"/>
      <c r="E25" s="689"/>
      <c r="F25" s="689"/>
      <c r="G25" s="689"/>
    </row>
    <row r="26" spans="1:11" s="687" customFormat="1" ht="15" thickBot="1" x14ac:dyDescent="0.4">
      <c r="A26" s="49"/>
      <c r="B26" s="619">
        <f>B24/B25</f>
        <v>0</v>
      </c>
      <c r="C26" s="610" t="s">
        <v>872</v>
      </c>
      <c r="D26" s="20"/>
      <c r="E26" s="689"/>
      <c r="F26" s="689"/>
      <c r="G26" s="689"/>
    </row>
    <row r="27" spans="1:11" s="687" customFormat="1" x14ac:dyDescent="0.35">
      <c r="A27" s="899"/>
      <c r="B27" s="163"/>
      <c r="C27" s="163"/>
      <c r="D27" s="501"/>
      <c r="E27" s="689"/>
      <c r="F27" s="689"/>
      <c r="G27" s="689"/>
    </row>
    <row r="28" spans="1:11" s="687" customFormat="1" ht="15" thickBot="1" x14ac:dyDescent="0.4">
      <c r="A28" s="49"/>
      <c r="B28" s="689"/>
      <c r="C28" s="689"/>
      <c r="D28" s="20"/>
      <c r="E28" s="689"/>
      <c r="F28" s="689"/>
      <c r="G28" s="689"/>
    </row>
    <row r="29" spans="1:11" s="687" customFormat="1" ht="15" thickBot="1" x14ac:dyDescent="0.4">
      <c r="A29" s="49"/>
      <c r="B29" s="1841" t="s">
        <v>875</v>
      </c>
      <c r="C29" s="1843"/>
      <c r="D29" s="20"/>
      <c r="E29" s="689"/>
      <c r="F29" s="689"/>
      <c r="G29" s="689"/>
    </row>
    <row r="30" spans="1:11" s="687" customFormat="1" x14ac:dyDescent="0.35">
      <c r="A30" s="49"/>
      <c r="B30" s="1229">
        <f>B9</f>
        <v>11573100</v>
      </c>
      <c r="C30" s="20" t="str">
        <f>C9</f>
        <v>Total bottles purchased (number)</v>
      </c>
      <c r="D30" s="20"/>
      <c r="E30" s="689"/>
      <c r="F30" s="689"/>
      <c r="G30" s="689"/>
    </row>
    <row r="31" spans="1:11" s="687" customFormat="1" x14ac:dyDescent="0.35">
      <c r="A31" s="49"/>
      <c r="B31" s="1631">
        <v>89100</v>
      </c>
      <c r="C31" s="20" t="s">
        <v>876</v>
      </c>
      <c r="D31" s="20"/>
      <c r="E31" s="689"/>
      <c r="F31" s="689"/>
      <c r="G31" s="689"/>
    </row>
    <row r="32" spans="1:11" s="687" customFormat="1" x14ac:dyDescent="0.35">
      <c r="A32" s="49"/>
      <c r="B32" s="904">
        <f>B30/B31</f>
        <v>129.88888888888889</v>
      </c>
      <c r="C32" s="501" t="s">
        <v>877</v>
      </c>
      <c r="D32" s="20"/>
      <c r="E32" s="689"/>
      <c r="F32" s="689"/>
      <c r="G32" s="689"/>
    </row>
    <row r="33" spans="1:7" s="687" customFormat="1" x14ac:dyDescent="0.35">
      <c r="A33" s="49"/>
      <c r="B33" s="499">
        <v>20</v>
      </c>
      <c r="C33" s="20" t="s">
        <v>878</v>
      </c>
      <c r="D33" s="20"/>
      <c r="E33" s="689"/>
      <c r="F33" s="689"/>
      <c r="G33" s="689"/>
    </row>
    <row r="34" spans="1:7" s="687" customFormat="1" x14ac:dyDescent="0.35">
      <c r="A34" s="49"/>
      <c r="B34" s="1590">
        <v>6.3</v>
      </c>
      <c r="C34" s="20" t="s">
        <v>879</v>
      </c>
      <c r="D34" s="20"/>
      <c r="E34" s="689"/>
      <c r="F34" s="689"/>
      <c r="G34" s="689"/>
    </row>
    <row r="35" spans="1:7" s="687" customFormat="1" x14ac:dyDescent="0.35">
      <c r="A35" s="49"/>
      <c r="B35" s="498">
        <f>B33/B34</f>
        <v>3.1746031746031749</v>
      </c>
      <c r="C35" s="20" t="s">
        <v>880</v>
      </c>
      <c r="D35" s="20"/>
      <c r="E35" s="689"/>
      <c r="F35" s="689"/>
      <c r="G35" s="689"/>
    </row>
    <row r="36" spans="1:7" s="687" customFormat="1" x14ac:dyDescent="0.35">
      <c r="A36" s="49"/>
      <c r="B36" s="1627">
        <f>'Brewery-Control Data'!C40</f>
        <v>10.210000000000001</v>
      </c>
      <c r="C36" s="20" t="s">
        <v>329</v>
      </c>
      <c r="D36" s="20"/>
      <c r="E36" s="689"/>
      <c r="F36" s="689"/>
      <c r="G36" s="689"/>
    </row>
    <row r="37" spans="1:7" s="687" customFormat="1" ht="15" thickBot="1" x14ac:dyDescent="0.4">
      <c r="A37" s="49"/>
      <c r="B37" s="498">
        <f>B35*B36</f>
        <v>32.412698412698418</v>
      </c>
      <c r="C37" s="20" t="s">
        <v>881</v>
      </c>
      <c r="D37" s="20"/>
      <c r="E37" s="689"/>
      <c r="F37" s="689"/>
      <c r="G37" s="689"/>
    </row>
    <row r="38" spans="1:7" s="687" customFormat="1" ht="15" thickBot="1" x14ac:dyDescent="0.4">
      <c r="A38" s="49"/>
      <c r="B38" s="897">
        <f>B37*B32</f>
        <v>4210.0493827160499</v>
      </c>
      <c r="C38" s="505" t="s">
        <v>882</v>
      </c>
      <c r="D38" s="895"/>
      <c r="E38" s="689"/>
      <c r="F38" s="689"/>
      <c r="G38" s="689"/>
    </row>
    <row r="39" spans="1:7" s="687" customFormat="1" ht="15" thickBot="1" x14ac:dyDescent="0.4">
      <c r="A39" s="49"/>
      <c r="B39" s="550">
        <f>'Brewery-Control Data'!$B$10</f>
        <v>123215.153565</v>
      </c>
      <c r="C39" s="620" t="s">
        <v>871</v>
      </c>
      <c r="D39" s="895"/>
      <c r="E39" s="689"/>
      <c r="F39" s="689"/>
      <c r="G39" s="689"/>
    </row>
    <row r="40" spans="1:7" s="687" customFormat="1" ht="15" thickBot="1" x14ac:dyDescent="0.4">
      <c r="A40" s="49"/>
      <c r="B40" s="619">
        <f>B38/B39</f>
        <v>3.4168276067562682E-2</v>
      </c>
      <c r="C40" s="610" t="s">
        <v>883</v>
      </c>
      <c r="D40" s="895"/>
      <c r="E40" s="689"/>
      <c r="F40" s="689"/>
      <c r="G40" s="689"/>
    </row>
    <row r="41" spans="1:7" s="687" customFormat="1" ht="15" thickBot="1" x14ac:dyDescent="0.4">
      <c r="A41" s="49"/>
      <c r="B41" s="689"/>
      <c r="C41" s="689"/>
      <c r="D41" s="20"/>
      <c r="E41" s="689"/>
      <c r="F41" s="689"/>
      <c r="G41" s="689"/>
    </row>
    <row r="42" spans="1:7" s="687" customFormat="1" ht="15" thickBot="1" x14ac:dyDescent="0.4">
      <c r="A42" s="49"/>
      <c r="B42" s="1841" t="s">
        <v>884</v>
      </c>
      <c r="C42" s="1843"/>
      <c r="D42" s="20"/>
      <c r="E42" s="689"/>
      <c r="F42" s="689"/>
      <c r="G42" s="689"/>
    </row>
    <row r="43" spans="1:7" x14ac:dyDescent="0.35">
      <c r="A43" s="49"/>
      <c r="B43" s="1229">
        <f>B19</f>
        <v>0</v>
      </c>
      <c r="C43" s="20" t="s">
        <v>865</v>
      </c>
      <c r="D43" s="20"/>
      <c r="E43" s="689"/>
      <c r="F43" s="689"/>
      <c r="G43" s="689"/>
    </row>
    <row r="44" spans="1:7" ht="15" customHeight="1" x14ac:dyDescent="0.35">
      <c r="A44" s="49"/>
      <c r="B44" s="504">
        <v>50400</v>
      </c>
      <c r="C44" s="20" t="s">
        <v>876</v>
      </c>
      <c r="D44" s="20"/>
      <c r="E44" s="689"/>
      <c r="F44" s="689"/>
      <c r="G44" s="689"/>
    </row>
    <row r="45" spans="1:7" x14ac:dyDescent="0.35">
      <c r="A45" s="49"/>
      <c r="B45" s="904">
        <f>B43/B44</f>
        <v>0</v>
      </c>
      <c r="C45" s="501" t="s">
        <v>877</v>
      </c>
      <c r="D45" s="20"/>
      <c r="E45" s="689"/>
      <c r="F45" s="689"/>
      <c r="G45" s="689"/>
    </row>
    <row r="46" spans="1:7" x14ac:dyDescent="0.35">
      <c r="A46" s="49"/>
      <c r="B46" s="499">
        <v>250</v>
      </c>
      <c r="C46" s="20" t="s">
        <v>878</v>
      </c>
      <c r="D46" s="20"/>
      <c r="E46" s="689"/>
      <c r="F46" s="689"/>
      <c r="G46" s="689"/>
    </row>
    <row r="47" spans="1:7" x14ac:dyDescent="0.35">
      <c r="A47" s="49"/>
      <c r="B47" s="1590">
        <v>6.3</v>
      </c>
      <c r="C47" s="20" t="s">
        <v>879</v>
      </c>
      <c r="D47" s="20"/>
      <c r="E47" s="689"/>
      <c r="F47" s="689"/>
      <c r="G47" s="689"/>
    </row>
    <row r="48" spans="1:7" x14ac:dyDescent="0.35">
      <c r="A48" s="49"/>
      <c r="B48" s="498">
        <f>B46/B47</f>
        <v>39.682539682539684</v>
      </c>
      <c r="C48" s="20" t="s">
        <v>880</v>
      </c>
      <c r="D48" s="20"/>
      <c r="E48" s="689"/>
      <c r="F48" s="689"/>
      <c r="G48" s="689"/>
    </row>
    <row r="49" spans="1:9" x14ac:dyDescent="0.35">
      <c r="A49" s="49"/>
      <c r="B49" s="1627">
        <f>'Brewery-Control Data'!C40</f>
        <v>10.210000000000001</v>
      </c>
      <c r="C49" s="20" t="s">
        <v>329</v>
      </c>
      <c r="D49" s="20"/>
      <c r="E49" s="689"/>
      <c r="F49" s="689"/>
      <c r="G49" s="689"/>
      <c r="H49" s="687"/>
      <c r="I49" s="687"/>
    </row>
    <row r="50" spans="1:9" ht="15" thickBot="1" x14ac:dyDescent="0.4">
      <c r="A50" s="49"/>
      <c r="B50" s="498">
        <f>B48*B49</f>
        <v>405.15873015873018</v>
      </c>
      <c r="C50" s="20" t="s">
        <v>881</v>
      </c>
      <c r="D50" s="20"/>
      <c r="E50" s="689"/>
      <c r="F50" s="689"/>
      <c r="G50" s="689"/>
      <c r="H50" s="687"/>
      <c r="I50" s="687"/>
    </row>
    <row r="51" spans="1:9" ht="15" thickBot="1" x14ac:dyDescent="0.4">
      <c r="A51" s="49"/>
      <c r="B51" s="897">
        <f>B50*B45</f>
        <v>0</v>
      </c>
      <c r="C51" s="505" t="s">
        <v>882</v>
      </c>
      <c r="D51" s="895"/>
      <c r="E51" s="687"/>
      <c r="F51" s="687"/>
      <c r="G51" s="687"/>
      <c r="H51" s="687"/>
      <c r="I51" s="687"/>
    </row>
    <row r="52" spans="1:9" ht="15" thickBot="1" x14ac:dyDescent="0.4">
      <c r="A52" s="49"/>
      <c r="B52" s="550">
        <f>'Brewery-Control Data'!$B$10</f>
        <v>123215.153565</v>
      </c>
      <c r="C52" s="620" t="s">
        <v>871</v>
      </c>
      <c r="D52" s="895"/>
      <c r="E52" s="687"/>
      <c r="F52" s="687"/>
      <c r="G52" s="687"/>
      <c r="H52" s="687"/>
      <c r="I52" s="687"/>
    </row>
    <row r="53" spans="1:9" s="514" customFormat="1" ht="15" thickBot="1" x14ac:dyDescent="0.4">
      <c r="A53" s="49"/>
      <c r="B53" s="619">
        <f>B51/B52</f>
        <v>0</v>
      </c>
      <c r="C53" s="610" t="s">
        <v>883</v>
      </c>
      <c r="D53" s="895"/>
      <c r="E53" s="687"/>
      <c r="F53" s="687"/>
      <c r="G53" s="687"/>
      <c r="H53" s="687"/>
      <c r="I53" s="687"/>
    </row>
    <row r="54" spans="1:9" s="514" customFormat="1" x14ac:dyDescent="0.35">
      <c r="A54" s="49"/>
      <c r="B54" s="689"/>
      <c r="C54" s="689"/>
      <c r="D54" s="20"/>
      <c r="E54" s="687"/>
      <c r="F54" s="687"/>
      <c r="G54" s="687"/>
      <c r="H54" s="687"/>
      <c r="I54" s="687"/>
    </row>
    <row r="55" spans="1:9" s="687" customFormat="1" x14ac:dyDescent="0.35">
      <c r="A55" s="899"/>
      <c r="B55" s="163"/>
      <c r="C55" s="163"/>
      <c r="D55" s="501"/>
    </row>
    <row r="56" spans="1:9" s="687" customFormat="1" x14ac:dyDescent="0.35">
      <c r="A56" s="49"/>
      <c r="B56" s="689"/>
      <c r="C56" s="689"/>
      <c r="D56" s="20"/>
      <c r="H56" s="896"/>
    </row>
    <row r="57" spans="1:9" s="687" customFormat="1" ht="15" thickBot="1" x14ac:dyDescent="0.4">
      <c r="A57" s="49"/>
      <c r="B57" s="1937" t="s">
        <v>885</v>
      </c>
      <c r="C57" s="1938"/>
      <c r="D57" s="20"/>
      <c r="H57" s="896"/>
    </row>
    <row r="58" spans="1:9" ht="15" thickBot="1" x14ac:dyDescent="0.4">
      <c r="A58" s="49"/>
      <c r="B58" s="553">
        <f>B14+B24+B38+B51</f>
        <v>2839619.549382716</v>
      </c>
      <c r="C58" s="507" t="s">
        <v>886</v>
      </c>
      <c r="D58" s="106"/>
      <c r="E58" s="687"/>
      <c r="F58" s="687"/>
      <c r="G58" s="687"/>
      <c r="H58" s="123"/>
      <c r="I58" s="687"/>
    </row>
    <row r="59" spans="1:9" ht="15" thickBot="1" x14ac:dyDescent="0.4">
      <c r="A59" s="49"/>
      <c r="B59" s="550">
        <f>'Brewery-Control Data'!$B$10</f>
        <v>123215.153565</v>
      </c>
      <c r="C59" s="552" t="s">
        <v>276</v>
      </c>
      <c r="D59" s="106"/>
      <c r="E59" s="687"/>
      <c r="F59" s="687"/>
      <c r="G59" s="687"/>
      <c r="H59" s="167"/>
      <c r="I59" s="687"/>
    </row>
    <row r="60" spans="1:9" ht="15" thickBot="1" x14ac:dyDescent="0.4">
      <c r="A60" s="836"/>
      <c r="B60" s="506">
        <f>B58/B59</f>
        <v>23.046025324188101</v>
      </c>
      <c r="C60" s="685" t="s">
        <v>887</v>
      </c>
      <c r="D60" s="866"/>
      <c r="E60" s="687"/>
      <c r="F60" s="687"/>
      <c r="G60" s="687"/>
      <c r="H60" s="687"/>
      <c r="I60" s="687"/>
    </row>
    <row r="61" spans="1:9" s="456" customFormat="1" x14ac:dyDescent="0.35">
      <c r="A61" s="687"/>
      <c r="B61" s="687"/>
      <c r="C61" s="687"/>
      <c r="D61" s="687"/>
      <c r="E61" s="171"/>
      <c r="F61" s="175"/>
      <c r="G61" s="172"/>
      <c r="H61" s="172"/>
      <c r="I61" s="687"/>
    </row>
    <row r="62" spans="1:9" s="456" customFormat="1" ht="15" thickBot="1" x14ac:dyDescent="0.4">
      <c r="A62" s="687"/>
      <c r="B62" s="687"/>
      <c r="C62" s="687"/>
      <c r="D62" s="687"/>
      <c r="E62" s="171"/>
      <c r="F62" s="175"/>
      <c r="G62" s="172"/>
      <c r="H62" s="172"/>
      <c r="I62" s="687"/>
    </row>
    <row r="63" spans="1:9" s="687" customFormat="1" ht="16" thickBot="1" x14ac:dyDescent="0.4">
      <c r="A63" s="843" t="str">
        <f>(brew2_abb&amp;" Glass Data")</f>
        <v>2ND Glass Data</v>
      </c>
      <c r="B63" s="892"/>
      <c r="C63" s="225"/>
      <c r="D63" s="187"/>
      <c r="E63" s="171"/>
      <c r="F63" s="175"/>
      <c r="G63" s="172"/>
      <c r="H63" s="172"/>
    </row>
    <row r="64" spans="1:9" s="687" customFormat="1" ht="15" thickBot="1" x14ac:dyDescent="0.4">
      <c r="A64" s="810"/>
      <c r="B64" s="1841" t="s">
        <v>864</v>
      </c>
      <c r="C64" s="1843"/>
      <c r="D64" s="893"/>
      <c r="E64" s="171"/>
      <c r="F64" s="175"/>
      <c r="G64" s="172"/>
      <c r="H64" s="172"/>
    </row>
    <row r="65" spans="1:8" s="687" customFormat="1" x14ac:dyDescent="0.35">
      <c r="A65" s="49"/>
      <c r="B65" s="566">
        <v>6600000</v>
      </c>
      <c r="C65" s="500" t="s">
        <v>865</v>
      </c>
      <c r="D65" s="894"/>
      <c r="E65" s="171"/>
      <c r="F65" s="175"/>
      <c r="G65" s="172"/>
      <c r="H65" s="172"/>
    </row>
    <row r="66" spans="1:8" s="687" customFormat="1" x14ac:dyDescent="0.35">
      <c r="A66" s="49"/>
      <c r="B66" s="1627">
        <v>0.245</v>
      </c>
      <c r="C66" s="20" t="s">
        <v>866</v>
      </c>
      <c r="D66" s="20"/>
      <c r="E66" s="171"/>
      <c r="F66" s="175"/>
      <c r="G66" s="172"/>
      <c r="H66" s="172"/>
    </row>
    <row r="67" spans="1:8" s="687" customFormat="1" x14ac:dyDescent="0.35">
      <c r="A67" s="49"/>
      <c r="B67" s="571">
        <f>'Brewery-Control Data'!$C$61</f>
        <v>195.49799999999999</v>
      </c>
      <c r="C67" s="20" t="s">
        <v>867</v>
      </c>
      <c r="D67" s="20"/>
      <c r="E67" s="171"/>
      <c r="F67" s="175"/>
      <c r="G67" s="172"/>
      <c r="H67" s="172"/>
    </row>
    <row r="68" spans="1:8" s="687" customFormat="1" x14ac:dyDescent="0.35">
      <c r="A68" s="49"/>
      <c r="B68" s="1628">
        <f>B66/B67</f>
        <v>1.2532097515064093E-3</v>
      </c>
      <c r="C68" s="20" t="s">
        <v>868</v>
      </c>
      <c r="D68" s="20"/>
      <c r="E68" s="171"/>
      <c r="F68" s="175"/>
      <c r="G68" s="172"/>
      <c r="H68" s="172"/>
    </row>
    <row r="69" spans="1:8" s="687" customFormat="1" x14ac:dyDescent="0.35">
      <c r="A69" s="49"/>
      <c r="B69" s="1629">
        <f>B68*1000</f>
        <v>1.2532097515064093</v>
      </c>
      <c r="C69" s="501" t="s">
        <v>869</v>
      </c>
      <c r="D69" s="20"/>
      <c r="E69" s="171"/>
      <c r="F69" s="175"/>
      <c r="G69" s="172"/>
      <c r="H69" s="172"/>
    </row>
    <row r="70" spans="1:8" s="687" customFormat="1" ht="15" thickBot="1" x14ac:dyDescent="0.4">
      <c r="A70" s="49"/>
      <c r="B70" s="898">
        <f>B65*B66</f>
        <v>1617000</v>
      </c>
      <c r="C70" s="502" t="s">
        <v>870</v>
      </c>
      <c r="D70" s="20"/>
      <c r="E70" s="171"/>
      <c r="F70" s="175"/>
      <c r="G70" s="172"/>
      <c r="H70" s="172"/>
    </row>
    <row r="71" spans="1:8" s="687" customFormat="1" ht="15" thickBot="1" x14ac:dyDescent="0.4">
      <c r="A71" s="49"/>
      <c r="B71" s="550">
        <f>'Brewery-Control Data'!$E$10</f>
        <v>88010.823974999992</v>
      </c>
      <c r="C71" s="620" t="s">
        <v>871</v>
      </c>
      <c r="D71" s="20"/>
      <c r="E71" s="171"/>
      <c r="F71" s="175"/>
      <c r="G71" s="172"/>
      <c r="H71" s="172"/>
    </row>
    <row r="72" spans="1:8" s="687" customFormat="1" ht="15" thickBot="1" x14ac:dyDescent="0.4">
      <c r="A72" s="49"/>
      <c r="B72" s="619">
        <f>B70/B71</f>
        <v>18.372740158180076</v>
      </c>
      <c r="C72" s="610" t="s">
        <v>872</v>
      </c>
      <c r="D72" s="20"/>
      <c r="E72" s="171"/>
      <c r="F72" s="175"/>
      <c r="G72" s="172"/>
      <c r="H72" s="172"/>
    </row>
    <row r="73" spans="1:8" s="687" customFormat="1" ht="15" thickBot="1" x14ac:dyDescent="0.4">
      <c r="A73" s="49"/>
      <c r="B73" s="689"/>
      <c r="C73" s="689"/>
      <c r="D73" s="20"/>
      <c r="E73" s="171"/>
      <c r="F73" s="175"/>
      <c r="G73" s="172"/>
      <c r="H73" s="172"/>
    </row>
    <row r="74" spans="1:8" s="687" customFormat="1" ht="15" thickBot="1" x14ac:dyDescent="0.4">
      <c r="A74" s="49"/>
      <c r="B74" s="1841" t="s">
        <v>873</v>
      </c>
      <c r="C74" s="1843"/>
      <c r="D74" s="20"/>
      <c r="E74" s="171"/>
      <c r="F74" s="175"/>
      <c r="G74" s="172"/>
      <c r="H74" s="172"/>
    </row>
    <row r="75" spans="1:8" s="687" customFormat="1" x14ac:dyDescent="0.35">
      <c r="A75" s="49"/>
      <c r="B75" s="566">
        <v>25000</v>
      </c>
      <c r="C75" s="500" t="s">
        <v>865</v>
      </c>
      <c r="D75" s="20"/>
      <c r="E75" s="171"/>
      <c r="F75" s="175"/>
      <c r="G75" s="172"/>
      <c r="H75" s="172"/>
    </row>
    <row r="76" spans="1:8" s="687" customFormat="1" x14ac:dyDescent="0.35">
      <c r="A76" s="49"/>
      <c r="B76" s="1630">
        <f>B66*(B77/B67)</f>
        <v>0.46157845604558617</v>
      </c>
      <c r="C76" s="20" t="s">
        <v>874</v>
      </c>
      <c r="D76" s="20"/>
      <c r="E76" s="171"/>
      <c r="F76" s="175"/>
      <c r="G76" s="172"/>
      <c r="H76" s="172"/>
    </row>
    <row r="77" spans="1:8" s="687" customFormat="1" x14ac:dyDescent="0.35">
      <c r="A77" s="49"/>
      <c r="B77" s="571">
        <f>'Brewery-Control Data'!$C$62</f>
        <v>368.31700000000001</v>
      </c>
      <c r="C77" s="20" t="s">
        <v>867</v>
      </c>
      <c r="D77" s="20"/>
      <c r="E77" s="171"/>
      <c r="F77" s="175"/>
      <c r="G77" s="172"/>
      <c r="H77" s="172"/>
    </row>
    <row r="78" spans="1:8" s="687" customFormat="1" x14ac:dyDescent="0.35">
      <c r="A78" s="49"/>
      <c r="B78" s="1628">
        <f>B76/B77</f>
        <v>1.2532097515064093E-3</v>
      </c>
      <c r="C78" s="20" t="s">
        <v>868</v>
      </c>
      <c r="D78" s="20"/>
      <c r="E78" s="171"/>
      <c r="F78" s="175"/>
      <c r="G78" s="172"/>
      <c r="H78" s="172"/>
    </row>
    <row r="79" spans="1:8" s="687" customFormat="1" x14ac:dyDescent="0.35">
      <c r="A79" s="49"/>
      <c r="B79" s="1629">
        <f>B78*1000</f>
        <v>1.2532097515064093</v>
      </c>
      <c r="C79" s="501" t="s">
        <v>869</v>
      </c>
      <c r="D79" s="20"/>
      <c r="E79" s="171"/>
      <c r="F79" s="175"/>
      <c r="G79" s="172"/>
      <c r="H79" s="172"/>
    </row>
    <row r="80" spans="1:8" s="687" customFormat="1" ht="15" thickBot="1" x14ac:dyDescent="0.4">
      <c r="A80" s="49"/>
      <c r="B80" s="898">
        <f>B75*B76</f>
        <v>11539.461401139653</v>
      </c>
      <c r="C80" s="502" t="s">
        <v>870</v>
      </c>
      <c r="D80" s="20"/>
      <c r="E80" s="171"/>
      <c r="F80" s="175"/>
      <c r="G80" s="172"/>
      <c r="H80" s="172"/>
    </row>
    <row r="81" spans="1:8" s="687" customFormat="1" ht="15" thickBot="1" x14ac:dyDescent="0.4">
      <c r="A81" s="49"/>
      <c r="B81" s="550">
        <f>'Brewery-Control Data'!$E$10</f>
        <v>88010.823974999992</v>
      </c>
      <c r="C81" s="620" t="s">
        <v>871</v>
      </c>
      <c r="D81" s="20"/>
      <c r="E81" s="171"/>
      <c r="F81" s="175"/>
      <c r="G81" s="172"/>
      <c r="H81" s="172"/>
    </row>
    <row r="82" spans="1:8" s="687" customFormat="1" ht="15" thickBot="1" x14ac:dyDescent="0.4">
      <c r="A82" s="49"/>
      <c r="B82" s="619">
        <f>B80/B81</f>
        <v>0.13111411619572505</v>
      </c>
      <c r="C82" s="610" t="s">
        <v>872</v>
      </c>
      <c r="D82" s="20"/>
      <c r="E82" s="171"/>
      <c r="F82" s="175"/>
      <c r="G82" s="172"/>
      <c r="H82" s="172"/>
    </row>
    <row r="83" spans="1:8" s="687" customFormat="1" x14ac:dyDescent="0.35">
      <c r="A83" s="899"/>
      <c r="B83" s="163"/>
      <c r="C83" s="163"/>
      <c r="D83" s="501"/>
      <c r="E83" s="171"/>
      <c r="F83" s="175"/>
      <c r="G83" s="172"/>
      <c r="H83" s="172"/>
    </row>
    <row r="84" spans="1:8" s="687" customFormat="1" ht="15" thickBot="1" x14ac:dyDescent="0.4">
      <c r="A84" s="49"/>
      <c r="B84" s="689"/>
      <c r="C84" s="689"/>
      <c r="D84" s="20"/>
      <c r="E84" s="171"/>
      <c r="F84" s="175"/>
      <c r="G84" s="172"/>
      <c r="H84" s="172"/>
    </row>
    <row r="85" spans="1:8" s="687" customFormat="1" ht="15" thickBot="1" x14ac:dyDescent="0.4">
      <c r="A85" s="49"/>
      <c r="B85" s="1841" t="s">
        <v>875</v>
      </c>
      <c r="C85" s="1843"/>
      <c r="D85" s="20"/>
      <c r="E85" s="171"/>
      <c r="F85" s="175"/>
      <c r="G85" s="172"/>
      <c r="H85" s="172"/>
    </row>
    <row r="86" spans="1:8" s="687" customFormat="1" x14ac:dyDescent="0.35">
      <c r="A86" s="49"/>
      <c r="B86" s="1229">
        <f>B65</f>
        <v>6600000</v>
      </c>
      <c r="C86" s="20" t="str">
        <f>C65</f>
        <v>Total bottles purchased (number)</v>
      </c>
      <c r="D86" s="20"/>
      <c r="E86" s="171"/>
      <c r="F86" s="175"/>
      <c r="G86" s="172"/>
      <c r="H86" s="172"/>
    </row>
    <row r="87" spans="1:8" s="687" customFormat="1" x14ac:dyDescent="0.35">
      <c r="A87" s="49"/>
      <c r="B87" s="504">
        <v>89100</v>
      </c>
      <c r="C87" s="20" t="s">
        <v>876</v>
      </c>
      <c r="D87" s="20"/>
      <c r="E87" s="171"/>
      <c r="F87" s="175"/>
      <c r="G87" s="172"/>
      <c r="H87" s="172"/>
    </row>
    <row r="88" spans="1:8" s="687" customFormat="1" x14ac:dyDescent="0.35">
      <c r="A88" s="49"/>
      <c r="B88" s="904">
        <f>B86/B87</f>
        <v>74.074074074074076</v>
      </c>
      <c r="C88" s="501" t="s">
        <v>877</v>
      </c>
      <c r="D88" s="20"/>
      <c r="E88" s="171"/>
      <c r="F88" s="175"/>
      <c r="G88" s="172"/>
      <c r="H88" s="172"/>
    </row>
    <row r="89" spans="1:8" s="687" customFormat="1" x14ac:dyDescent="0.35">
      <c r="A89" s="49"/>
      <c r="B89" s="499">
        <v>85</v>
      </c>
      <c r="C89" s="20" t="s">
        <v>878</v>
      </c>
      <c r="D89" s="20"/>
      <c r="E89" s="171"/>
      <c r="F89" s="175"/>
      <c r="G89" s="172"/>
      <c r="H89" s="172"/>
    </row>
    <row r="90" spans="1:8" s="687" customFormat="1" x14ac:dyDescent="0.35">
      <c r="A90" s="49"/>
      <c r="B90" s="1590">
        <v>6.3</v>
      </c>
      <c r="C90" s="20" t="s">
        <v>879</v>
      </c>
      <c r="D90" s="20"/>
      <c r="E90" s="171"/>
      <c r="F90" s="175"/>
      <c r="G90" s="172"/>
      <c r="H90" s="172"/>
    </row>
    <row r="91" spans="1:8" s="687" customFormat="1" x14ac:dyDescent="0.35">
      <c r="A91" s="49"/>
      <c r="B91" s="498">
        <f>B89/B90</f>
        <v>13.492063492063492</v>
      </c>
      <c r="C91" s="20" t="s">
        <v>880</v>
      </c>
      <c r="D91" s="20"/>
      <c r="E91" s="171"/>
      <c r="F91" s="175"/>
      <c r="G91" s="172"/>
      <c r="H91" s="172"/>
    </row>
    <row r="92" spans="1:8" s="687" customFormat="1" x14ac:dyDescent="0.35">
      <c r="A92" s="49"/>
      <c r="B92" s="1627">
        <f>'Brewery-Control Data'!$C$40</f>
        <v>10.210000000000001</v>
      </c>
      <c r="C92" s="20" t="s">
        <v>329</v>
      </c>
      <c r="D92" s="20"/>
      <c r="E92" s="171"/>
      <c r="F92" s="175"/>
      <c r="G92" s="172"/>
      <c r="H92" s="172"/>
    </row>
    <row r="93" spans="1:8" s="687" customFormat="1" ht="15" thickBot="1" x14ac:dyDescent="0.4">
      <c r="A93" s="49"/>
      <c r="B93" s="498">
        <f>B91*B92</f>
        <v>137.75396825396825</v>
      </c>
      <c r="C93" s="20" t="s">
        <v>881</v>
      </c>
      <c r="D93" s="20"/>
      <c r="E93" s="171"/>
      <c r="F93" s="175"/>
      <c r="G93" s="172"/>
      <c r="H93" s="172"/>
    </row>
    <row r="94" spans="1:8" s="687" customFormat="1" ht="15" thickBot="1" x14ac:dyDescent="0.4">
      <c r="A94" s="49"/>
      <c r="B94" s="897">
        <f>B93*B88</f>
        <v>10203.997648442093</v>
      </c>
      <c r="C94" s="505" t="s">
        <v>882</v>
      </c>
      <c r="D94" s="895"/>
      <c r="E94" s="171"/>
      <c r="F94" s="175"/>
      <c r="G94" s="172"/>
      <c r="H94" s="172"/>
    </row>
    <row r="95" spans="1:8" s="687" customFormat="1" ht="15" thickBot="1" x14ac:dyDescent="0.4">
      <c r="A95" s="49"/>
      <c r="B95" s="550">
        <f>'Brewery-Control Data'!$E$10</f>
        <v>88010.823974999992</v>
      </c>
      <c r="C95" s="620" t="s">
        <v>871</v>
      </c>
      <c r="D95" s="895"/>
      <c r="E95" s="171"/>
      <c r="F95" s="175"/>
      <c r="G95" s="172"/>
      <c r="H95" s="172"/>
    </row>
    <row r="96" spans="1:8" s="687" customFormat="1" ht="15" thickBot="1" x14ac:dyDescent="0.4">
      <c r="A96" s="49"/>
      <c r="B96" s="619">
        <f>B94/B95</f>
        <v>0.11594025811348614</v>
      </c>
      <c r="C96" s="610" t="s">
        <v>883</v>
      </c>
      <c r="D96" s="895"/>
      <c r="E96" s="171"/>
      <c r="F96" s="175"/>
      <c r="G96" s="172"/>
      <c r="H96" s="172"/>
    </row>
    <row r="97" spans="1:8" s="687" customFormat="1" ht="15" thickBot="1" x14ac:dyDescent="0.4">
      <c r="A97" s="49"/>
      <c r="B97" s="689"/>
      <c r="C97" s="689"/>
      <c r="D97" s="20"/>
      <c r="E97" s="171"/>
      <c r="F97" s="175"/>
      <c r="G97" s="172"/>
      <c r="H97" s="172"/>
    </row>
    <row r="98" spans="1:8" s="687" customFormat="1" ht="15" thickBot="1" x14ac:dyDescent="0.4">
      <c r="A98" s="49"/>
      <c r="B98" s="1841" t="s">
        <v>884</v>
      </c>
      <c r="C98" s="1843"/>
      <c r="D98" s="20"/>
      <c r="E98" s="171"/>
      <c r="F98" s="175"/>
      <c r="G98" s="172"/>
      <c r="H98" s="172"/>
    </row>
    <row r="99" spans="1:8" s="687" customFormat="1" x14ac:dyDescent="0.35">
      <c r="A99" s="49"/>
      <c r="B99" s="1229">
        <f>B75</f>
        <v>25000</v>
      </c>
      <c r="C99" s="20" t="s">
        <v>865</v>
      </c>
      <c r="D99" s="20"/>
      <c r="E99" s="171"/>
      <c r="F99" s="175"/>
      <c r="G99" s="172"/>
      <c r="H99" s="172"/>
    </row>
    <row r="100" spans="1:8" s="687" customFormat="1" x14ac:dyDescent="0.35">
      <c r="A100" s="49"/>
      <c r="B100" s="504">
        <v>50400</v>
      </c>
      <c r="C100" s="20" t="s">
        <v>876</v>
      </c>
      <c r="D100" s="20"/>
      <c r="E100" s="171"/>
      <c r="F100" s="175"/>
      <c r="G100" s="172"/>
      <c r="H100" s="172"/>
    </row>
    <row r="101" spans="1:8" s="687" customFormat="1" x14ac:dyDescent="0.35">
      <c r="A101" s="49"/>
      <c r="B101" s="904">
        <f>B99/B100</f>
        <v>0.49603174603174605</v>
      </c>
      <c r="C101" s="501" t="s">
        <v>877</v>
      </c>
      <c r="D101" s="20"/>
      <c r="E101" s="171"/>
      <c r="F101" s="175"/>
      <c r="G101" s="172"/>
      <c r="H101" s="172"/>
    </row>
    <row r="102" spans="1:8" s="687" customFormat="1" x14ac:dyDescent="0.35">
      <c r="A102" s="49"/>
      <c r="B102" s="499">
        <v>350</v>
      </c>
      <c r="C102" s="20" t="s">
        <v>878</v>
      </c>
      <c r="D102" s="20"/>
      <c r="E102" s="171"/>
      <c r="F102" s="175"/>
      <c r="G102" s="172"/>
      <c r="H102" s="172"/>
    </row>
    <row r="103" spans="1:8" s="687" customFormat="1" x14ac:dyDescent="0.35">
      <c r="A103" s="49"/>
      <c r="B103" s="1590">
        <v>6.3</v>
      </c>
      <c r="C103" s="20" t="s">
        <v>879</v>
      </c>
      <c r="D103" s="20"/>
      <c r="E103" s="171"/>
      <c r="F103" s="175"/>
      <c r="G103" s="172"/>
      <c r="H103" s="172"/>
    </row>
    <row r="104" spans="1:8" s="687" customFormat="1" x14ac:dyDescent="0.35">
      <c r="A104" s="49"/>
      <c r="B104" s="498">
        <f>B102/B103</f>
        <v>55.555555555555557</v>
      </c>
      <c r="C104" s="20" t="s">
        <v>880</v>
      </c>
      <c r="D104" s="20"/>
      <c r="E104" s="171"/>
      <c r="F104" s="175"/>
      <c r="G104" s="172"/>
      <c r="H104" s="172"/>
    </row>
    <row r="105" spans="1:8" s="687" customFormat="1" x14ac:dyDescent="0.35">
      <c r="A105" s="49"/>
      <c r="B105" s="1627">
        <f>'Brewery-Control Data'!$C$40</f>
        <v>10.210000000000001</v>
      </c>
      <c r="C105" s="20" t="s">
        <v>329</v>
      </c>
      <c r="D105" s="20"/>
      <c r="E105" s="171"/>
      <c r="F105" s="175"/>
      <c r="G105" s="172"/>
      <c r="H105" s="172"/>
    </row>
    <row r="106" spans="1:8" s="687" customFormat="1" ht="15" thickBot="1" x14ac:dyDescent="0.4">
      <c r="A106" s="49"/>
      <c r="B106" s="498">
        <f>B104*B105</f>
        <v>567.22222222222229</v>
      </c>
      <c r="C106" s="20" t="s">
        <v>881</v>
      </c>
      <c r="D106" s="20"/>
      <c r="E106" s="171"/>
      <c r="F106" s="175"/>
      <c r="G106" s="172"/>
      <c r="H106" s="172"/>
    </row>
    <row r="107" spans="1:8" s="687" customFormat="1" ht="15" thickBot="1" x14ac:dyDescent="0.4">
      <c r="A107" s="49"/>
      <c r="B107" s="897">
        <f>B106*B101</f>
        <v>281.36022927689601</v>
      </c>
      <c r="C107" s="505" t="s">
        <v>882</v>
      </c>
      <c r="D107" s="895"/>
      <c r="E107" s="171"/>
      <c r="F107" s="175"/>
      <c r="G107" s="172"/>
      <c r="H107" s="172"/>
    </row>
    <row r="108" spans="1:8" s="687" customFormat="1" ht="15" thickBot="1" x14ac:dyDescent="0.4">
      <c r="A108" s="49"/>
      <c r="B108" s="550">
        <f>'Brewery-Control Data'!$E$10</f>
        <v>88010.823974999992</v>
      </c>
      <c r="C108" s="620" t="s">
        <v>871</v>
      </c>
      <c r="D108" s="895"/>
      <c r="E108" s="171"/>
      <c r="F108" s="175"/>
      <c r="G108" s="172"/>
      <c r="H108" s="172"/>
    </row>
    <row r="109" spans="1:8" s="687" customFormat="1" ht="15" thickBot="1" x14ac:dyDescent="0.4">
      <c r="A109" s="49"/>
      <c r="B109" s="619">
        <f>B107/B108</f>
        <v>3.1968821170998024E-3</v>
      </c>
      <c r="C109" s="610" t="s">
        <v>883</v>
      </c>
      <c r="D109" s="895"/>
      <c r="E109" s="171"/>
      <c r="F109" s="175"/>
      <c r="G109" s="172"/>
      <c r="H109" s="172"/>
    </row>
    <row r="110" spans="1:8" s="687" customFormat="1" x14ac:dyDescent="0.35">
      <c r="A110" s="899"/>
      <c r="B110" s="163"/>
      <c r="C110" s="163"/>
      <c r="D110" s="501"/>
      <c r="E110" s="171"/>
      <c r="F110" s="175"/>
      <c r="G110" s="172"/>
      <c r="H110" s="172"/>
    </row>
    <row r="111" spans="1:8" s="687" customFormat="1" x14ac:dyDescent="0.35">
      <c r="A111" s="49"/>
      <c r="B111" s="689"/>
      <c r="C111" s="689"/>
      <c r="D111" s="20"/>
      <c r="E111" s="171"/>
      <c r="F111" s="175"/>
      <c r="G111" s="172"/>
      <c r="H111" s="172"/>
    </row>
    <row r="112" spans="1:8" s="687" customFormat="1" ht="15" thickBot="1" x14ac:dyDescent="0.4">
      <c r="A112" s="49"/>
      <c r="B112" s="1937" t="s">
        <v>885</v>
      </c>
      <c r="C112" s="1938"/>
      <c r="D112" s="20"/>
      <c r="E112" s="171"/>
      <c r="F112" s="175"/>
      <c r="G112" s="172"/>
      <c r="H112" s="172"/>
    </row>
    <row r="113" spans="1:8" s="687" customFormat="1" ht="15" thickBot="1" x14ac:dyDescent="0.4">
      <c r="A113" s="49"/>
      <c r="B113" s="553">
        <f>B70+B80+B94+B107</f>
        <v>1639024.8192788586</v>
      </c>
      <c r="C113" s="507" t="s">
        <v>886</v>
      </c>
      <c r="D113" s="106"/>
      <c r="E113" s="171"/>
      <c r="F113" s="175"/>
      <c r="G113" s="172"/>
      <c r="H113" s="172"/>
    </row>
    <row r="114" spans="1:8" s="687" customFormat="1" ht="15" thickBot="1" x14ac:dyDescent="0.4">
      <c r="A114" s="49"/>
      <c r="B114" s="550">
        <f>'Brewery-Control Data'!$E$10</f>
        <v>88010.823974999992</v>
      </c>
      <c r="C114" s="552" t="s">
        <v>276</v>
      </c>
      <c r="D114" s="106"/>
      <c r="E114" s="171"/>
      <c r="F114" s="175"/>
      <c r="G114" s="172"/>
      <c r="H114" s="172"/>
    </row>
    <row r="115" spans="1:8" s="687" customFormat="1" ht="15" thickBot="1" x14ac:dyDescent="0.4">
      <c r="A115" s="836"/>
      <c r="B115" s="506">
        <f>B113/B114</f>
        <v>18.622991414606386</v>
      </c>
      <c r="C115" s="685" t="s">
        <v>887</v>
      </c>
      <c r="D115" s="866"/>
      <c r="E115" s="171"/>
      <c r="F115" s="175"/>
      <c r="G115" s="172"/>
      <c r="H115" s="172"/>
    </row>
    <row r="116" spans="1:8" s="687" customFormat="1" x14ac:dyDescent="0.35">
      <c r="E116" s="171"/>
      <c r="F116" s="175"/>
      <c r="G116" s="172"/>
      <c r="H116" s="172"/>
    </row>
    <row r="117" spans="1:8" s="687" customFormat="1" ht="15" thickBot="1" x14ac:dyDescent="0.4">
      <c r="E117" s="171"/>
      <c r="F117" s="175"/>
      <c r="G117" s="172"/>
      <c r="H117" s="172"/>
    </row>
    <row r="118" spans="1:8" s="687" customFormat="1" ht="16" thickBot="1" x14ac:dyDescent="0.4">
      <c r="A118" s="842" t="s">
        <v>492</v>
      </c>
      <c r="B118" s="847"/>
      <c r="E118" s="171"/>
      <c r="F118" s="175"/>
      <c r="G118" s="172"/>
      <c r="H118" s="172"/>
    </row>
    <row r="119" spans="1:8" s="687" customFormat="1" ht="16" thickBot="1" x14ac:dyDescent="0.4">
      <c r="A119" s="900"/>
      <c r="B119" s="198"/>
      <c r="E119" s="171"/>
      <c r="F119" s="175"/>
      <c r="G119" s="172"/>
      <c r="H119" s="172"/>
    </row>
    <row r="120" spans="1:8" s="687" customFormat="1" ht="15" thickBot="1" x14ac:dyDescent="0.4">
      <c r="B120" s="1841" t="s">
        <v>888</v>
      </c>
      <c r="C120" s="1843"/>
      <c r="E120" s="171"/>
      <c r="F120" s="175"/>
      <c r="G120" s="172"/>
      <c r="H120" s="172"/>
    </row>
    <row r="121" spans="1:8" s="687" customFormat="1" ht="15" thickBot="1" x14ac:dyDescent="0.4">
      <c r="B121" s="553">
        <f>B58+B113</f>
        <v>4478644.368661575</v>
      </c>
      <c r="C121" s="507" t="s">
        <v>886</v>
      </c>
      <c r="E121" s="171"/>
      <c r="F121" s="175"/>
      <c r="G121" s="172"/>
      <c r="H121" s="172"/>
    </row>
    <row r="122" spans="1:8" s="687" customFormat="1" ht="15" thickBot="1" x14ac:dyDescent="0.4">
      <c r="B122" s="550">
        <f>'Brewery-Control Data'!$H$10</f>
        <v>211225.97753999999</v>
      </c>
      <c r="C122" s="639" t="s">
        <v>276</v>
      </c>
      <c r="E122" s="171"/>
      <c r="F122" s="175"/>
      <c r="G122" s="172"/>
      <c r="H122" s="172"/>
    </row>
    <row r="123" spans="1:8" s="687" customFormat="1" ht="15" thickBot="1" x14ac:dyDescent="0.4">
      <c r="B123" s="506">
        <f>B121/B122</f>
        <v>21.203094528529057</v>
      </c>
      <c r="C123" s="685" t="s">
        <v>887</v>
      </c>
      <c r="E123" s="171"/>
      <c r="F123" s="175"/>
      <c r="G123" s="172"/>
      <c r="H123" s="172"/>
    </row>
    <row r="124" spans="1:8" s="687" customFormat="1" x14ac:dyDescent="0.35">
      <c r="E124" s="171"/>
      <c r="F124" s="175"/>
      <c r="G124" s="172"/>
      <c r="H124" s="172"/>
    </row>
    <row r="125" spans="1:8" s="687" customFormat="1" x14ac:dyDescent="0.35">
      <c r="E125" s="171"/>
      <c r="F125" s="175"/>
      <c r="G125" s="172"/>
      <c r="H125" s="172"/>
    </row>
    <row r="126" spans="1:8" s="687" customFormat="1" x14ac:dyDescent="0.35">
      <c r="E126" s="171"/>
      <c r="F126" s="175"/>
      <c r="G126" s="172"/>
      <c r="H126" s="172"/>
    </row>
    <row r="127" spans="1:8" ht="15" thickBot="1" x14ac:dyDescent="0.4">
      <c r="A127" s="583" t="s">
        <v>499</v>
      </c>
      <c r="B127" s="583"/>
      <c r="C127" s="583"/>
      <c r="D127" s="583"/>
      <c r="E127" s="687"/>
      <c r="F127" s="687"/>
      <c r="G127" s="687"/>
      <c r="H127" s="687"/>
    </row>
    <row r="128" spans="1:8" s="456" customFormat="1" ht="15" thickTop="1" x14ac:dyDescent="0.35">
      <c r="A128" s="688" t="s">
        <v>889</v>
      </c>
      <c r="B128" s="687"/>
      <c r="C128" s="687"/>
      <c r="D128" s="687"/>
      <c r="E128" s="687"/>
      <c r="F128" s="687"/>
      <c r="G128" s="687"/>
      <c r="H128" s="687"/>
    </row>
    <row r="129" spans="1:16" s="687" customFormat="1" x14ac:dyDescent="0.35">
      <c r="B129" s="687" t="s">
        <v>890</v>
      </c>
    </row>
    <row r="130" spans="1:16" x14ac:dyDescent="0.35">
      <c r="B130" s="687" t="s">
        <v>891</v>
      </c>
      <c r="C130" s="687"/>
      <c r="D130" s="687"/>
      <c r="E130" s="687"/>
      <c r="F130" s="687"/>
      <c r="G130" s="687"/>
      <c r="H130" s="687"/>
      <c r="I130" s="687"/>
      <c r="J130" s="687"/>
      <c r="K130" s="687"/>
      <c r="L130" s="687"/>
      <c r="M130" s="687"/>
      <c r="N130" s="687"/>
      <c r="O130" s="687"/>
      <c r="P130" s="687"/>
    </row>
    <row r="131" spans="1:16" x14ac:dyDescent="0.35">
      <c r="B131" s="687"/>
      <c r="C131" s="450" t="s">
        <v>892</v>
      </c>
      <c r="D131" s="687"/>
      <c r="E131" s="108"/>
      <c r="F131" s="108"/>
      <c r="G131" s="108"/>
      <c r="H131" s="687"/>
      <c r="I131" s="687"/>
      <c r="J131" s="687"/>
      <c r="K131" s="687"/>
      <c r="L131" s="687"/>
      <c r="M131" s="687"/>
      <c r="N131" s="687"/>
      <c r="O131" s="687"/>
      <c r="P131" s="687"/>
    </row>
    <row r="132" spans="1:16" s="647" customFormat="1" x14ac:dyDescent="0.35">
      <c r="A132" s="687" t="s">
        <v>504</v>
      </c>
      <c r="B132" s="687"/>
      <c r="C132" s="687"/>
      <c r="D132" s="687"/>
      <c r="E132" s="108"/>
      <c r="F132" s="108"/>
      <c r="G132" s="108"/>
      <c r="H132" s="687"/>
      <c r="I132" s="687"/>
      <c r="J132" s="687"/>
      <c r="K132" s="687"/>
      <c r="L132" s="687"/>
      <c r="M132" s="687"/>
      <c r="N132" s="687"/>
      <c r="O132" s="687"/>
      <c r="P132" s="687"/>
    </row>
    <row r="133" spans="1:16" s="687" customFormat="1" x14ac:dyDescent="0.35">
      <c r="A133" s="298" t="s">
        <v>893</v>
      </c>
      <c r="B133" s="108"/>
      <c r="C133" s="108"/>
      <c r="D133" s="108"/>
      <c r="E133" s="108"/>
      <c r="F133" s="108"/>
      <c r="G133" s="108"/>
    </row>
    <row r="134" spans="1:16" s="687" customFormat="1" x14ac:dyDescent="0.35">
      <c r="B134" s="108" t="s">
        <v>894</v>
      </c>
      <c r="C134" s="108"/>
      <c r="D134" s="108"/>
      <c r="E134" s="108"/>
      <c r="F134" s="108"/>
      <c r="G134" s="108"/>
    </row>
    <row r="135" spans="1:16" s="457" customFormat="1" x14ac:dyDescent="0.35">
      <c r="A135" s="108" t="s">
        <v>504</v>
      </c>
      <c r="B135" s="108"/>
      <c r="C135" s="108"/>
      <c r="D135" s="108"/>
      <c r="E135" s="108"/>
      <c r="F135" s="108"/>
      <c r="G135" s="108"/>
      <c r="H135" s="108"/>
      <c r="J135" s="108"/>
      <c r="K135" s="108"/>
      <c r="P135" s="687"/>
    </row>
    <row r="137" spans="1:16" ht="16" thickBot="1" x14ac:dyDescent="0.4">
      <c r="A137" s="1678"/>
      <c r="B137" s="1678"/>
      <c r="C137" s="1678"/>
      <c r="D137" s="1679" t="s">
        <v>72</v>
      </c>
      <c r="E137" s="1680"/>
      <c r="F137" s="1680"/>
      <c r="G137" s="1680"/>
      <c r="H137" s="1680"/>
      <c r="I137" s="1680"/>
      <c r="J137" s="1680"/>
      <c r="K137" s="1680"/>
      <c r="L137" s="1680"/>
      <c r="M137" s="1680"/>
      <c r="N137" s="1680"/>
      <c r="O137" s="1680"/>
      <c r="P137" s="1681"/>
    </row>
    <row r="138" spans="1:16" ht="15" thickTop="1" x14ac:dyDescent="0.35">
      <c r="A138" s="87"/>
      <c r="B138" s="87"/>
      <c r="C138" s="87"/>
      <c r="D138" s="87"/>
      <c r="E138" s="457"/>
      <c r="F138" s="457"/>
      <c r="G138" s="457"/>
      <c r="H138" s="457"/>
      <c r="I138" s="457"/>
      <c r="J138" s="457"/>
      <c r="K138" s="457"/>
      <c r="L138" s="457"/>
      <c r="M138" s="457"/>
      <c r="N138" s="457"/>
      <c r="O138" s="457"/>
      <c r="P138" s="457"/>
    </row>
  </sheetData>
  <mergeCells count="13">
    <mergeCell ref="A1:D1"/>
    <mergeCell ref="B42:C42"/>
    <mergeCell ref="B112:C112"/>
    <mergeCell ref="B120:C120"/>
    <mergeCell ref="B57:C57"/>
    <mergeCell ref="B64:C64"/>
    <mergeCell ref="B74:C74"/>
    <mergeCell ref="B85:C85"/>
    <mergeCell ref="B98:C98"/>
    <mergeCell ref="B29:C29"/>
    <mergeCell ref="B8:C8"/>
    <mergeCell ref="B18:C18"/>
    <mergeCell ref="C5:D6"/>
  </mergeCells>
  <phoneticPr fontId="44" type="noConversion"/>
  <hyperlinks>
    <hyperlink ref="B4" location="'Glossary-FAQs'!A1" display="Glossary/FAQ" xr:uid="{63F5FD2A-626D-4D4E-9740-7E642689FDAE}"/>
    <hyperlink ref="C3" location="'Welcome'!C15" display="  = Data entry needed. See color legend on Welcome tab for more info.  " xr:uid="{CF23F6A9-FEEA-4C38-B301-60ADB70FD7D1}"/>
  </hyperlinks>
  <pageMargins left="0.75" right="0.7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C000"/>
  </sheetPr>
  <dimension ref="A1:AC148"/>
  <sheetViews>
    <sheetView zoomScale="115" zoomScaleNormal="115" workbookViewId="0">
      <selection activeCell="A2" sqref="A2"/>
    </sheetView>
  </sheetViews>
  <sheetFormatPr defaultColWidth="11.453125" defaultRowHeight="14.5" x14ac:dyDescent="0.35"/>
  <cols>
    <col min="1" max="1" width="5" style="687" customWidth="1"/>
    <col min="2" max="2" width="22.26953125" style="456" customWidth="1"/>
    <col min="3" max="3" width="50.453125" style="456" customWidth="1"/>
    <col min="4" max="4" width="14.1796875" style="456" customWidth="1"/>
    <col min="5" max="5" width="5.81640625" style="456" customWidth="1"/>
    <col min="6" max="6" width="6.26953125" style="456" customWidth="1"/>
    <col min="7" max="7" width="8" style="456" customWidth="1"/>
    <col min="8" max="8" width="25.81640625" style="456" customWidth="1"/>
    <col min="9" max="9" width="50.453125" style="456" customWidth="1"/>
    <col min="10" max="10" width="15.81640625" style="456" customWidth="1"/>
    <col min="11" max="16384" width="11.453125" style="456"/>
  </cols>
  <sheetData>
    <row r="1" spans="1:29" ht="21.5" thickBot="1" x14ac:dyDescent="0.55000000000000004">
      <c r="A1" s="1925" t="s">
        <v>895</v>
      </c>
      <c r="B1" s="1926"/>
      <c r="C1" s="1926"/>
      <c r="D1" s="1926"/>
      <c r="E1" s="1926"/>
      <c r="F1" s="1926"/>
      <c r="G1" s="1926"/>
      <c r="H1" s="1926"/>
      <c r="I1" s="1926"/>
      <c r="J1" s="1927"/>
      <c r="K1" s="687"/>
      <c r="L1" s="687"/>
      <c r="M1" s="687"/>
      <c r="N1" s="687"/>
      <c r="O1" s="687"/>
      <c r="P1" s="687"/>
      <c r="Q1" s="687"/>
      <c r="R1" s="687"/>
      <c r="S1" s="687"/>
      <c r="T1" s="687"/>
      <c r="U1" s="687"/>
      <c r="V1" s="687"/>
      <c r="W1" s="687"/>
      <c r="X1" s="687"/>
      <c r="Y1" s="687"/>
      <c r="Z1" s="687"/>
      <c r="AA1" s="687"/>
      <c r="AB1" s="687"/>
      <c r="AC1" s="687"/>
    </row>
    <row r="2" spans="1:29" x14ac:dyDescent="0.35">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row>
    <row r="3" spans="1:29" s="5" customFormat="1" ht="15" customHeight="1" x14ac:dyDescent="0.35">
      <c r="B3" s="1558" t="s">
        <v>265</v>
      </c>
      <c r="C3" s="1617" t="s">
        <v>432</v>
      </c>
      <c r="D3" s="513"/>
      <c r="E3" s="513"/>
      <c r="F3" s="1550" t="s">
        <v>264</v>
      </c>
      <c r="G3" s="44"/>
      <c r="H3" s="687"/>
      <c r="I3" s="687"/>
      <c r="J3" s="687"/>
      <c r="K3" s="687"/>
      <c r="L3" s="146"/>
    </row>
    <row r="4" spans="1:29" s="5" customFormat="1" ht="15" customHeight="1" x14ac:dyDescent="0.35">
      <c r="B4" s="1667" t="s">
        <v>268</v>
      </c>
      <c r="C4" s="44"/>
      <c r="D4" s="44"/>
      <c r="E4" s="44"/>
      <c r="F4" s="1940" t="s">
        <v>896</v>
      </c>
      <c r="G4" s="1940"/>
      <c r="H4" s="1940"/>
      <c r="I4" s="1940"/>
      <c r="J4" s="1940"/>
      <c r="K4" s="687"/>
      <c r="L4" s="146"/>
    </row>
    <row r="5" spans="1:29" x14ac:dyDescent="0.35">
      <c r="B5" s="687"/>
      <c r="C5" s="687"/>
      <c r="D5" s="687"/>
      <c r="E5" s="687"/>
      <c r="F5" s="1940"/>
      <c r="G5" s="1940"/>
      <c r="H5" s="1940"/>
      <c r="I5" s="1940"/>
      <c r="J5" s="1940"/>
      <c r="K5" s="687"/>
      <c r="L5" s="687"/>
      <c r="M5" s="687"/>
      <c r="N5" s="687"/>
      <c r="O5" s="687"/>
      <c r="P5" s="687"/>
      <c r="Q5" s="687"/>
      <c r="R5" s="687"/>
      <c r="S5" s="687"/>
      <c r="T5" s="687"/>
      <c r="U5" s="687"/>
      <c r="V5" s="687"/>
      <c r="W5" s="687"/>
      <c r="X5" s="687"/>
      <c r="Y5" s="687"/>
      <c r="Z5" s="687"/>
      <c r="AA5" s="687"/>
      <c r="AB5" s="687"/>
      <c r="AC5" s="687"/>
    </row>
    <row r="6" spans="1:29" s="687" customFormat="1" x14ac:dyDescent="0.35"/>
    <row r="7" spans="1:29" ht="16" thickBot="1" x14ac:dyDescent="0.4">
      <c r="A7" s="843" t="str">
        <f>(brew1_abb&amp;" Aluminum Data")</f>
        <v>MAIN Aluminum Data</v>
      </c>
      <c r="B7" s="892"/>
      <c r="C7" s="687"/>
      <c r="D7" s="687"/>
      <c r="E7" s="687"/>
      <c r="F7" s="689"/>
      <c r="G7" s="843" t="str">
        <f>(brew2_abb&amp;" Aluminum Data")</f>
        <v>2ND Aluminum Data</v>
      </c>
      <c r="H7" s="892"/>
      <c r="I7" s="687"/>
      <c r="J7" s="687"/>
      <c r="K7" s="687"/>
      <c r="L7" s="687"/>
      <c r="M7" s="687"/>
      <c r="N7" s="687"/>
      <c r="O7" s="687"/>
      <c r="P7" s="687"/>
      <c r="Q7" s="687"/>
      <c r="R7" s="687"/>
      <c r="S7" s="687"/>
      <c r="T7" s="687"/>
      <c r="U7" s="687"/>
      <c r="V7" s="687"/>
      <c r="W7" s="687"/>
      <c r="X7" s="687"/>
      <c r="Y7" s="687"/>
      <c r="Z7" s="687"/>
      <c r="AA7" s="687"/>
      <c r="AB7" s="687"/>
      <c r="AC7" s="687"/>
    </row>
    <row r="8" spans="1:29" ht="15" thickBot="1" x14ac:dyDescent="0.4">
      <c r="A8" s="810"/>
      <c r="B8" s="1841" t="s">
        <v>897</v>
      </c>
      <c r="C8" s="1843"/>
      <c r="D8" s="776"/>
      <c r="E8" s="687"/>
      <c r="F8" s="689"/>
      <c r="G8" s="810"/>
      <c r="H8" s="1841" t="s">
        <v>897</v>
      </c>
      <c r="I8" s="1843"/>
      <c r="J8" s="776"/>
      <c r="K8" s="687"/>
      <c r="L8" s="687"/>
      <c r="M8" s="687"/>
      <c r="N8" s="687"/>
      <c r="O8" s="687"/>
      <c r="P8" s="687"/>
      <c r="Q8" s="687"/>
      <c r="R8" s="687"/>
      <c r="S8" s="687"/>
      <c r="T8" s="687"/>
      <c r="U8" s="687"/>
      <c r="V8" s="687"/>
      <c r="W8" s="687"/>
      <c r="X8" s="687"/>
      <c r="Y8" s="687"/>
      <c r="Z8" s="687"/>
      <c r="AA8" s="687"/>
      <c r="AB8" s="687"/>
      <c r="AC8" s="687"/>
    </row>
    <row r="9" spans="1:29" x14ac:dyDescent="0.35">
      <c r="A9" s="49"/>
      <c r="B9" s="504">
        <v>19489600</v>
      </c>
      <c r="C9" s="500" t="s">
        <v>898</v>
      </c>
      <c r="D9" s="20"/>
      <c r="E9" s="687"/>
      <c r="F9" s="689"/>
      <c r="G9" s="49"/>
      <c r="H9" s="504">
        <v>16333000</v>
      </c>
      <c r="I9" s="500" t="s">
        <v>898</v>
      </c>
      <c r="J9" s="20"/>
      <c r="K9" s="687"/>
      <c r="L9" s="687"/>
      <c r="M9" s="687"/>
      <c r="N9" s="687"/>
      <c r="O9" s="687"/>
      <c r="P9" s="687"/>
      <c r="Q9" s="687"/>
      <c r="R9" s="687"/>
      <c r="S9" s="687"/>
      <c r="T9" s="687"/>
      <c r="U9" s="687"/>
      <c r="V9" s="687"/>
      <c r="W9" s="687"/>
      <c r="X9" s="687"/>
      <c r="Y9" s="687"/>
      <c r="Z9" s="687"/>
      <c r="AA9" s="687"/>
      <c r="AB9" s="687"/>
      <c r="AC9" s="687"/>
    </row>
    <row r="10" spans="1:29" x14ac:dyDescent="0.35">
      <c r="A10" s="49"/>
      <c r="B10" s="498">
        <f>'Brewery-Control Data'!$C$63</f>
        <v>13.29</v>
      </c>
      <c r="C10" s="20" t="s">
        <v>899</v>
      </c>
      <c r="D10" s="20"/>
      <c r="E10" s="687"/>
      <c r="F10" s="689"/>
      <c r="G10" s="49"/>
      <c r="H10" s="498">
        <f>'Brewery-Control Data'!$C$63</f>
        <v>13.29</v>
      </c>
      <c r="I10" s="20" t="s">
        <v>899</v>
      </c>
      <c r="J10" s="20"/>
      <c r="K10" s="687"/>
      <c r="L10" s="687"/>
      <c r="M10" s="687"/>
      <c r="N10" s="687"/>
      <c r="O10" s="687"/>
      <c r="P10" s="687"/>
      <c r="Q10" s="687"/>
      <c r="R10" s="687"/>
      <c r="S10" s="687"/>
      <c r="T10" s="687"/>
      <c r="U10" s="687"/>
      <c r="V10" s="687"/>
      <c r="W10" s="687"/>
      <c r="X10" s="687"/>
      <c r="Y10" s="687"/>
      <c r="Z10" s="687"/>
      <c r="AA10" s="687"/>
      <c r="AB10" s="687"/>
      <c r="AC10" s="687"/>
    </row>
    <row r="11" spans="1:29" x14ac:dyDescent="0.35">
      <c r="A11" s="49"/>
      <c r="B11" s="903">
        <f>B9*B10</f>
        <v>259016783.99999997</v>
      </c>
      <c r="C11" s="20" t="s">
        <v>900</v>
      </c>
      <c r="D11" s="20"/>
      <c r="E11" s="687"/>
      <c r="F11" s="689"/>
      <c r="G11" s="49"/>
      <c r="H11" s="903">
        <f>H9*H10</f>
        <v>217065570</v>
      </c>
      <c r="I11" s="20" t="s">
        <v>900</v>
      </c>
      <c r="J11" s="20"/>
      <c r="K11" s="687"/>
      <c r="L11" s="687"/>
      <c r="M11" s="687"/>
      <c r="N11" s="687"/>
      <c r="O11" s="687"/>
      <c r="P11" s="687"/>
      <c r="Q11" s="687"/>
      <c r="R11" s="687"/>
      <c r="S11" s="687"/>
      <c r="T11" s="687"/>
      <c r="U11" s="687"/>
      <c r="V11" s="687"/>
      <c r="W11" s="687"/>
      <c r="X11" s="687"/>
      <c r="Y11" s="687"/>
      <c r="Z11" s="687"/>
      <c r="AA11" s="687"/>
      <c r="AB11" s="687"/>
      <c r="AC11" s="687"/>
    </row>
    <row r="12" spans="1:29" x14ac:dyDescent="0.35">
      <c r="A12" s="49"/>
      <c r="B12" s="1632">
        <v>8.5299999999999994</v>
      </c>
      <c r="C12" s="20" t="s">
        <v>901</v>
      </c>
      <c r="D12" s="20"/>
      <c r="E12" s="687"/>
      <c r="F12" s="689"/>
      <c r="G12" s="49"/>
      <c r="H12" s="1632">
        <v>8.5299999999999994</v>
      </c>
      <c r="I12" s="20" t="s">
        <v>901</v>
      </c>
      <c r="J12" s="20"/>
      <c r="K12" s="687"/>
      <c r="L12" s="687"/>
      <c r="M12" s="687"/>
      <c r="N12" s="687"/>
      <c r="O12" s="687"/>
      <c r="P12" s="687"/>
      <c r="Q12" s="687"/>
      <c r="R12" s="687"/>
      <c r="S12" s="687"/>
      <c r="T12" s="687"/>
      <c r="U12" s="687"/>
      <c r="V12" s="687"/>
      <c r="W12" s="687"/>
      <c r="X12" s="687"/>
      <c r="Y12" s="687"/>
      <c r="Z12" s="687"/>
      <c r="AA12" s="687"/>
      <c r="AB12" s="687"/>
      <c r="AC12" s="687"/>
    </row>
    <row r="13" spans="1:29" x14ac:dyDescent="0.35">
      <c r="A13" s="49"/>
      <c r="B13" s="903">
        <f>B11*B12</f>
        <v>2209413167.5199995</v>
      </c>
      <c r="C13" s="20" t="s">
        <v>902</v>
      </c>
      <c r="D13" s="20"/>
      <c r="E13" s="687"/>
      <c r="F13" s="689"/>
      <c r="G13" s="49"/>
      <c r="H13" s="903">
        <f>H11*H12</f>
        <v>1851569312.0999999</v>
      </c>
      <c r="I13" s="20" t="s">
        <v>902</v>
      </c>
      <c r="J13" s="20"/>
      <c r="K13" s="687"/>
      <c r="L13" s="687"/>
      <c r="M13" s="687"/>
      <c r="N13" s="687"/>
      <c r="O13" s="687"/>
      <c r="P13" s="687"/>
      <c r="Q13" s="687"/>
      <c r="R13" s="687"/>
      <c r="S13" s="687"/>
      <c r="T13" s="687"/>
      <c r="U13" s="687"/>
      <c r="V13" s="687"/>
      <c r="W13" s="687"/>
      <c r="X13" s="687"/>
      <c r="Y13" s="687"/>
      <c r="Z13" s="687"/>
      <c r="AA13" s="687"/>
      <c r="AB13" s="687"/>
      <c r="AC13" s="687"/>
    </row>
    <row r="14" spans="1:29" ht="15" thickBot="1" x14ac:dyDescent="0.4">
      <c r="A14" s="49"/>
      <c r="B14" s="49">
        <v>1E-3</v>
      </c>
      <c r="C14" s="106" t="s">
        <v>805</v>
      </c>
      <c r="D14" s="20"/>
      <c r="E14" s="687"/>
      <c r="F14" s="689"/>
      <c r="G14" s="49"/>
      <c r="H14" s="49">
        <v>1E-3</v>
      </c>
      <c r="I14" s="106" t="s">
        <v>805</v>
      </c>
      <c r="J14" s="20"/>
      <c r="K14" s="687"/>
      <c r="L14" s="687"/>
      <c r="M14" s="687"/>
      <c r="N14" s="687"/>
      <c r="O14" s="687"/>
      <c r="P14" s="687"/>
      <c r="Q14" s="687"/>
      <c r="R14" s="687"/>
      <c r="S14" s="687"/>
      <c r="T14" s="687"/>
      <c r="U14" s="687"/>
      <c r="V14" s="687"/>
      <c r="W14" s="687"/>
      <c r="X14" s="687"/>
      <c r="Y14" s="687"/>
      <c r="Z14" s="687"/>
      <c r="AA14" s="687"/>
      <c r="AB14" s="687"/>
      <c r="AC14" s="687"/>
    </row>
    <row r="15" spans="1:29" ht="15" thickBot="1" x14ac:dyDescent="0.4">
      <c r="A15" s="49"/>
      <c r="B15" s="553">
        <f>B13*B14</f>
        <v>2209413.1675199997</v>
      </c>
      <c r="C15" s="507" t="s">
        <v>903</v>
      </c>
      <c r="D15" s="20"/>
      <c r="E15" s="687"/>
      <c r="F15" s="689"/>
      <c r="G15" s="49"/>
      <c r="H15" s="553">
        <f>H13*H14</f>
        <v>1851569.3121</v>
      </c>
      <c r="I15" s="507" t="s">
        <v>903</v>
      </c>
      <c r="J15" s="20"/>
      <c r="K15" s="687"/>
      <c r="L15" s="687"/>
      <c r="M15" s="687"/>
      <c r="N15" s="687"/>
      <c r="O15" s="687"/>
      <c r="P15" s="687"/>
      <c r="Q15" s="687"/>
      <c r="R15" s="687"/>
      <c r="S15" s="687"/>
      <c r="T15" s="687"/>
      <c r="U15" s="687"/>
      <c r="V15" s="687"/>
      <c r="W15" s="687"/>
      <c r="X15" s="687"/>
      <c r="Y15" s="687"/>
      <c r="Z15" s="687"/>
      <c r="AA15" s="687"/>
      <c r="AB15" s="687"/>
      <c r="AC15" s="687"/>
    </row>
    <row r="16" spans="1:29" s="514" customFormat="1" ht="15" thickBot="1" x14ac:dyDescent="0.4">
      <c r="A16" s="49"/>
      <c r="B16" s="551">
        <f>'Brewery-Control Data'!$B$10</f>
        <v>123215.153565</v>
      </c>
      <c r="C16" s="639" t="s">
        <v>276</v>
      </c>
      <c r="D16" s="20"/>
      <c r="E16" s="687"/>
      <c r="F16" s="689"/>
      <c r="G16" s="49"/>
      <c r="H16" s="551">
        <f>'Brewery-Control Data'!$B$10</f>
        <v>123215.153565</v>
      </c>
      <c r="I16" s="639" t="s">
        <v>276</v>
      </c>
      <c r="J16" s="20"/>
      <c r="K16" s="687"/>
      <c r="L16" s="687"/>
      <c r="M16" s="687"/>
      <c r="N16" s="687"/>
      <c r="O16" s="687"/>
      <c r="P16" s="687"/>
      <c r="Q16" s="687"/>
      <c r="R16" s="687"/>
      <c r="S16" s="687"/>
      <c r="T16" s="687"/>
      <c r="U16" s="687"/>
      <c r="V16" s="687"/>
      <c r="W16" s="687"/>
      <c r="X16" s="687"/>
      <c r="Y16" s="687"/>
      <c r="Z16" s="687"/>
      <c r="AA16" s="687"/>
      <c r="AB16" s="687"/>
      <c r="AC16" s="687"/>
    </row>
    <row r="17" spans="1:29" s="514" customFormat="1" ht="15" thickBot="1" x14ac:dyDescent="0.4">
      <c r="A17" s="49"/>
      <c r="B17" s="619">
        <f>B15/B16</f>
        <v>17.931342887581295</v>
      </c>
      <c r="C17" s="610" t="s">
        <v>904</v>
      </c>
      <c r="D17" s="20"/>
      <c r="E17" s="687"/>
      <c r="F17" s="689"/>
      <c r="G17" s="49"/>
      <c r="H17" s="619">
        <f>H15/H16</f>
        <v>15.027123357219507</v>
      </c>
      <c r="I17" s="610" t="s">
        <v>904</v>
      </c>
      <c r="J17" s="20"/>
      <c r="K17" s="687"/>
      <c r="L17" s="687"/>
      <c r="M17" s="687"/>
      <c r="N17" s="687"/>
      <c r="O17" s="687"/>
      <c r="P17" s="687"/>
      <c r="Q17" s="687"/>
      <c r="R17" s="687"/>
      <c r="S17" s="687"/>
      <c r="T17" s="687"/>
      <c r="U17" s="687"/>
      <c r="V17" s="687"/>
      <c r="W17" s="687"/>
      <c r="X17" s="687"/>
      <c r="Y17" s="687"/>
      <c r="Z17" s="687"/>
      <c r="AA17" s="687"/>
      <c r="AB17" s="687"/>
      <c r="AC17" s="687"/>
    </row>
    <row r="18" spans="1:29" ht="15" thickBot="1" x14ac:dyDescent="0.4">
      <c r="A18" s="49"/>
      <c r="B18" s="689"/>
      <c r="C18" s="689"/>
      <c r="D18" s="20"/>
      <c r="E18" s="687"/>
      <c r="F18" s="689"/>
      <c r="G18" s="49"/>
      <c r="H18" s="689"/>
      <c r="I18" s="689"/>
      <c r="J18" s="20"/>
      <c r="K18" s="687"/>
      <c r="L18" s="687"/>
      <c r="M18" s="687"/>
      <c r="N18" s="687"/>
      <c r="O18" s="687"/>
      <c r="P18" s="687"/>
      <c r="Q18" s="687"/>
      <c r="R18" s="687"/>
      <c r="S18" s="687"/>
      <c r="T18" s="687"/>
      <c r="U18" s="687"/>
      <c r="V18" s="687"/>
      <c r="W18" s="687"/>
      <c r="X18" s="687"/>
      <c r="Y18" s="687"/>
      <c r="Z18" s="687"/>
      <c r="AA18" s="687"/>
      <c r="AB18" s="687"/>
      <c r="AC18" s="687"/>
    </row>
    <row r="19" spans="1:29" s="687" customFormat="1" ht="15" thickBot="1" x14ac:dyDescent="0.4">
      <c r="A19" s="49"/>
      <c r="B19" s="1841" t="s">
        <v>905</v>
      </c>
      <c r="C19" s="1843"/>
      <c r="D19" s="20"/>
      <c r="F19" s="689"/>
      <c r="G19" s="49"/>
      <c r="H19" s="1841" t="s">
        <v>905</v>
      </c>
      <c r="I19" s="1843"/>
      <c r="J19" s="20"/>
    </row>
    <row r="20" spans="1:29" s="687" customFormat="1" x14ac:dyDescent="0.35">
      <c r="A20" s="49"/>
      <c r="B20" s="504">
        <v>250000</v>
      </c>
      <c r="C20" s="20" t="str">
        <f>C9</f>
        <v>Total cans purchased (number)</v>
      </c>
      <c r="D20" s="20"/>
      <c r="F20" s="689"/>
      <c r="G20" s="49"/>
      <c r="H20" s="504">
        <v>100000</v>
      </c>
      <c r="I20" s="20" t="str">
        <f>I9</f>
        <v>Total cans purchased (number)</v>
      </c>
      <c r="J20" s="20"/>
    </row>
    <row r="21" spans="1:29" s="687" customFormat="1" x14ac:dyDescent="0.35">
      <c r="A21" s="49"/>
      <c r="B21" s="498">
        <f>'Brewery-Control Data'!$C$64</f>
        <v>15.54</v>
      </c>
      <c r="C21" s="20" t="s">
        <v>899</v>
      </c>
      <c r="D21" s="1136"/>
      <c r="F21" s="689"/>
      <c r="G21" s="49"/>
      <c r="H21" s="498">
        <f>'Brewery-Control Data'!$C$64</f>
        <v>15.54</v>
      </c>
      <c r="I21" s="20" t="s">
        <v>899</v>
      </c>
      <c r="J21" s="1136"/>
    </row>
    <row r="22" spans="1:29" s="687" customFormat="1" x14ac:dyDescent="0.35">
      <c r="A22" s="49"/>
      <c r="B22" s="903">
        <f>B20*B21</f>
        <v>3885000</v>
      </c>
      <c r="C22" s="20" t="s">
        <v>900</v>
      </c>
      <c r="D22" s="20"/>
      <c r="F22" s="689"/>
      <c r="G22" s="49"/>
      <c r="H22" s="903">
        <f>H20*H21</f>
        <v>1554000</v>
      </c>
      <c r="I22" s="20" t="s">
        <v>900</v>
      </c>
      <c r="J22" s="20"/>
    </row>
    <row r="23" spans="1:29" s="687" customFormat="1" x14ac:dyDescent="0.35">
      <c r="A23" s="49"/>
      <c r="B23" s="1632">
        <v>8.5299999999999994</v>
      </c>
      <c r="C23" s="20" t="s">
        <v>901</v>
      </c>
      <c r="D23" s="20"/>
      <c r="F23" s="689"/>
      <c r="G23" s="49"/>
      <c r="H23" s="1632">
        <v>8.5299999999999994</v>
      </c>
      <c r="I23" s="20" t="s">
        <v>901</v>
      </c>
      <c r="J23" s="20"/>
    </row>
    <row r="24" spans="1:29" s="687" customFormat="1" x14ac:dyDescent="0.35">
      <c r="A24" s="49"/>
      <c r="B24" s="903">
        <f>B22*B23</f>
        <v>33139049.999999996</v>
      </c>
      <c r="C24" s="20" t="s">
        <v>902</v>
      </c>
      <c r="D24" s="20"/>
      <c r="F24" s="689"/>
      <c r="G24" s="49"/>
      <c r="H24" s="903">
        <f>H22*H23</f>
        <v>13255619.999999998</v>
      </c>
      <c r="I24" s="20" t="s">
        <v>902</v>
      </c>
      <c r="J24" s="20"/>
    </row>
    <row r="25" spans="1:29" s="687" customFormat="1" ht="15" thickBot="1" x14ac:dyDescent="0.4">
      <c r="A25" s="49"/>
      <c r="B25" s="49">
        <v>1E-3</v>
      </c>
      <c r="C25" s="106" t="s">
        <v>805</v>
      </c>
      <c r="D25" s="20"/>
      <c r="F25" s="689"/>
      <c r="G25" s="49"/>
      <c r="H25" s="49">
        <v>1E-3</v>
      </c>
      <c r="I25" s="106" t="s">
        <v>805</v>
      </c>
      <c r="J25" s="20"/>
    </row>
    <row r="26" spans="1:29" s="687" customFormat="1" ht="15" thickBot="1" x14ac:dyDescent="0.4">
      <c r="A26" s="49"/>
      <c r="B26" s="553">
        <f>B24*B25</f>
        <v>33139.049999999996</v>
      </c>
      <c r="C26" s="507" t="s">
        <v>903</v>
      </c>
      <c r="D26" s="20"/>
      <c r="F26" s="689"/>
      <c r="G26" s="49"/>
      <c r="H26" s="553">
        <f>H24*H25</f>
        <v>13255.619999999999</v>
      </c>
      <c r="I26" s="507" t="s">
        <v>903</v>
      </c>
      <c r="J26" s="20"/>
    </row>
    <row r="27" spans="1:29" s="687" customFormat="1" ht="15" thickBot="1" x14ac:dyDescent="0.4">
      <c r="A27" s="49"/>
      <c r="B27" s="551">
        <f>'Brewery-Control Data'!$B$10</f>
        <v>123215.153565</v>
      </c>
      <c r="C27" s="639" t="s">
        <v>276</v>
      </c>
      <c r="D27" s="20"/>
      <c r="F27" s="689"/>
      <c r="G27" s="49"/>
      <c r="H27" s="551">
        <f>'Brewery-Control Data'!$B$10</f>
        <v>123215.153565</v>
      </c>
      <c r="I27" s="639" t="s">
        <v>276</v>
      </c>
      <c r="J27" s="20"/>
    </row>
    <row r="28" spans="1:29" s="687" customFormat="1" ht="15" thickBot="1" x14ac:dyDescent="0.4">
      <c r="A28" s="49"/>
      <c r="B28" s="619">
        <f>B26/B27</f>
        <v>0.26895271434708773</v>
      </c>
      <c r="C28" s="610" t="s">
        <v>904</v>
      </c>
      <c r="D28" s="20"/>
      <c r="F28" s="689"/>
      <c r="G28" s="49"/>
      <c r="H28" s="619">
        <f>H26/H27</f>
        <v>0.10758108573883511</v>
      </c>
      <c r="I28" s="610" t="s">
        <v>904</v>
      </c>
      <c r="J28" s="20"/>
    </row>
    <row r="29" spans="1:29" s="687" customFormat="1" ht="15" thickBot="1" x14ac:dyDescent="0.4">
      <c r="A29" s="49"/>
      <c r="B29" s="689"/>
      <c r="C29" s="689"/>
      <c r="D29" s="20"/>
      <c r="F29" s="689"/>
      <c r="G29" s="49"/>
      <c r="H29" s="689"/>
      <c r="I29" s="689"/>
      <c r="J29" s="20"/>
    </row>
    <row r="30" spans="1:29" s="687" customFormat="1" ht="15" thickBot="1" x14ac:dyDescent="0.4">
      <c r="A30" s="49"/>
      <c r="B30" s="1841" t="s">
        <v>906</v>
      </c>
      <c r="C30" s="1843"/>
      <c r="D30" s="20"/>
      <c r="F30" s="689"/>
      <c r="G30" s="49"/>
      <c r="H30" s="1841" t="s">
        <v>906</v>
      </c>
      <c r="I30" s="1843"/>
      <c r="J30" s="20"/>
    </row>
    <row r="31" spans="1:29" s="687" customFormat="1" x14ac:dyDescent="0.35">
      <c r="A31" s="49"/>
      <c r="B31" s="504">
        <v>100000</v>
      </c>
      <c r="C31" s="20" t="str">
        <f>C42</f>
        <v>Total cans purchased (number)</v>
      </c>
      <c r="D31" s="20"/>
      <c r="F31" s="689"/>
      <c r="G31" s="49"/>
      <c r="H31" s="504">
        <v>100000</v>
      </c>
      <c r="I31" s="20" t="str">
        <f>I42</f>
        <v>Total cans purchased (number)</v>
      </c>
      <c r="J31" s="20"/>
    </row>
    <row r="32" spans="1:29" s="687" customFormat="1" x14ac:dyDescent="0.35">
      <c r="A32" s="49"/>
      <c r="B32" s="498">
        <f>'Brewery-Control Data'!$C$65</f>
        <v>17.510000000000002</v>
      </c>
      <c r="C32" s="20" t="s">
        <v>899</v>
      </c>
      <c r="D32" s="20"/>
      <c r="F32" s="689"/>
      <c r="G32" s="49"/>
      <c r="H32" s="498">
        <f>'Brewery-Control Data'!$C$65</f>
        <v>17.510000000000002</v>
      </c>
      <c r="I32" s="20" t="s">
        <v>899</v>
      </c>
      <c r="J32" s="20"/>
    </row>
    <row r="33" spans="1:10" s="687" customFormat="1" x14ac:dyDescent="0.35">
      <c r="A33" s="49"/>
      <c r="B33" s="903">
        <f>B31*B32</f>
        <v>1751000.0000000002</v>
      </c>
      <c r="C33" s="20" t="s">
        <v>900</v>
      </c>
      <c r="D33" s="20"/>
      <c r="F33" s="689"/>
      <c r="G33" s="49"/>
      <c r="H33" s="903">
        <f>H31*H32</f>
        <v>1751000.0000000002</v>
      </c>
      <c r="I33" s="20" t="s">
        <v>900</v>
      </c>
      <c r="J33" s="20"/>
    </row>
    <row r="34" spans="1:10" s="687" customFormat="1" x14ac:dyDescent="0.35">
      <c r="A34" s="49"/>
      <c r="B34" s="1632">
        <v>8.5299999999999994</v>
      </c>
      <c r="C34" s="20" t="s">
        <v>901</v>
      </c>
      <c r="D34" s="20"/>
      <c r="F34" s="689"/>
      <c r="G34" s="49"/>
      <c r="H34" s="1632">
        <v>8.5299999999999994</v>
      </c>
      <c r="I34" s="20" t="s">
        <v>901</v>
      </c>
      <c r="J34" s="20"/>
    </row>
    <row r="35" spans="1:10" s="687" customFormat="1" x14ac:dyDescent="0.35">
      <c r="A35" s="49"/>
      <c r="B35" s="903">
        <f>B33*B34</f>
        <v>14936030</v>
      </c>
      <c r="C35" s="20" t="s">
        <v>902</v>
      </c>
      <c r="D35" s="20"/>
      <c r="F35" s="689"/>
      <c r="G35" s="49"/>
      <c r="H35" s="903">
        <f>H33*H34</f>
        <v>14936030</v>
      </c>
      <c r="I35" s="20" t="s">
        <v>902</v>
      </c>
      <c r="J35" s="20"/>
    </row>
    <row r="36" spans="1:10" s="687" customFormat="1" ht="15" thickBot="1" x14ac:dyDescent="0.4">
      <c r="A36" s="49"/>
      <c r="B36" s="49">
        <v>1E-3</v>
      </c>
      <c r="C36" s="106" t="s">
        <v>805</v>
      </c>
      <c r="D36" s="20"/>
      <c r="F36" s="689"/>
      <c r="G36" s="49"/>
      <c r="H36" s="49">
        <v>1E-3</v>
      </c>
      <c r="I36" s="106" t="s">
        <v>805</v>
      </c>
      <c r="J36" s="20"/>
    </row>
    <row r="37" spans="1:10" s="687" customFormat="1" ht="15" thickBot="1" x14ac:dyDescent="0.4">
      <c r="A37" s="49"/>
      <c r="B37" s="553">
        <f>B35*B36</f>
        <v>14936.03</v>
      </c>
      <c r="C37" s="507" t="s">
        <v>903</v>
      </c>
      <c r="D37" s="20"/>
      <c r="F37" s="689"/>
      <c r="G37" s="49"/>
      <c r="H37" s="553">
        <f>H35*H36</f>
        <v>14936.03</v>
      </c>
      <c r="I37" s="507" t="s">
        <v>903</v>
      </c>
      <c r="J37" s="20"/>
    </row>
    <row r="38" spans="1:10" s="687" customFormat="1" ht="15" thickBot="1" x14ac:dyDescent="0.4">
      <c r="A38" s="49"/>
      <c r="B38" s="551">
        <f>'Brewery-Control Data'!$B$10</f>
        <v>123215.153565</v>
      </c>
      <c r="C38" s="639" t="s">
        <v>276</v>
      </c>
      <c r="D38" s="20"/>
      <c r="F38" s="689"/>
      <c r="G38" s="49"/>
      <c r="H38" s="551">
        <f>'Brewery-Control Data'!$B$10</f>
        <v>123215.153565</v>
      </c>
      <c r="I38" s="639" t="s">
        <v>276</v>
      </c>
      <c r="J38" s="20"/>
    </row>
    <row r="39" spans="1:10" s="687" customFormat="1" ht="15" thickBot="1" x14ac:dyDescent="0.4">
      <c r="A39" s="49"/>
      <c r="B39" s="619">
        <f>B37/B38</f>
        <v>0.12121909982541847</v>
      </c>
      <c r="C39" s="610" t="s">
        <v>904</v>
      </c>
      <c r="D39" s="20"/>
      <c r="F39" s="689"/>
      <c r="G39" s="49"/>
      <c r="H39" s="619">
        <f>H37/H38</f>
        <v>0.12121909982541847</v>
      </c>
      <c r="I39" s="610" t="s">
        <v>904</v>
      </c>
      <c r="J39" s="20"/>
    </row>
    <row r="40" spans="1:10" s="687" customFormat="1" ht="15" thickBot="1" x14ac:dyDescent="0.4">
      <c r="A40" s="49"/>
      <c r="B40" s="689"/>
      <c r="C40" s="689"/>
      <c r="D40" s="20"/>
      <c r="F40" s="689"/>
      <c r="G40" s="49"/>
      <c r="H40" s="689"/>
      <c r="I40" s="689"/>
      <c r="J40" s="20"/>
    </row>
    <row r="41" spans="1:10" s="687" customFormat="1" ht="15" thickBot="1" x14ac:dyDescent="0.4">
      <c r="A41" s="49"/>
      <c r="B41" s="1841" t="s">
        <v>907</v>
      </c>
      <c r="C41" s="1843"/>
      <c r="D41" s="20"/>
      <c r="F41" s="689"/>
      <c r="G41" s="49"/>
      <c r="H41" s="1841" t="s">
        <v>907</v>
      </c>
      <c r="I41" s="1843"/>
      <c r="J41" s="20"/>
    </row>
    <row r="42" spans="1:10" s="687" customFormat="1" x14ac:dyDescent="0.35">
      <c r="A42" s="49"/>
      <c r="B42" s="504">
        <v>0</v>
      </c>
      <c r="C42" s="20" t="str">
        <f>C20</f>
        <v>Total cans purchased (number)</v>
      </c>
      <c r="D42" s="20"/>
      <c r="F42" s="689"/>
      <c r="G42" s="49"/>
      <c r="H42" s="504">
        <v>0</v>
      </c>
      <c r="I42" s="20" t="str">
        <f>I20</f>
        <v>Total cans purchased (number)</v>
      </c>
      <c r="J42" s="20"/>
    </row>
    <row r="43" spans="1:10" s="687" customFormat="1" x14ac:dyDescent="0.35">
      <c r="A43" s="49"/>
      <c r="B43" s="498">
        <f>'Brewery-Control Data'!$C$66</f>
        <v>22.88</v>
      </c>
      <c r="C43" s="20" t="s">
        <v>899</v>
      </c>
      <c r="D43" s="20"/>
      <c r="F43" s="689"/>
      <c r="G43" s="49"/>
      <c r="H43" s="498">
        <f>'Brewery-Control Data'!$C$66</f>
        <v>22.88</v>
      </c>
      <c r="I43" s="20" t="s">
        <v>899</v>
      </c>
      <c r="J43" s="20"/>
    </row>
    <row r="44" spans="1:10" s="687" customFormat="1" x14ac:dyDescent="0.35">
      <c r="A44" s="49"/>
      <c r="B44" s="903">
        <f>B42*B43</f>
        <v>0</v>
      </c>
      <c r="C44" s="20" t="s">
        <v>900</v>
      </c>
      <c r="D44" s="20"/>
      <c r="F44" s="689"/>
      <c r="G44" s="49"/>
      <c r="H44" s="903">
        <f>H42*H43</f>
        <v>0</v>
      </c>
      <c r="I44" s="20" t="s">
        <v>900</v>
      </c>
      <c r="J44" s="20"/>
    </row>
    <row r="45" spans="1:10" s="687" customFormat="1" x14ac:dyDescent="0.35">
      <c r="A45" s="49"/>
      <c r="B45" s="1632">
        <v>8.5299999999999994</v>
      </c>
      <c r="C45" s="20" t="s">
        <v>901</v>
      </c>
      <c r="D45" s="20"/>
      <c r="F45" s="689"/>
      <c r="G45" s="49"/>
      <c r="H45" s="1632">
        <v>8.5299999999999994</v>
      </c>
      <c r="I45" s="20" t="s">
        <v>901</v>
      </c>
      <c r="J45" s="20"/>
    </row>
    <row r="46" spans="1:10" s="687" customFormat="1" x14ac:dyDescent="0.35">
      <c r="A46" s="49"/>
      <c r="B46" s="903">
        <f>B44*B45</f>
        <v>0</v>
      </c>
      <c r="C46" s="20" t="s">
        <v>902</v>
      </c>
      <c r="D46" s="20"/>
      <c r="F46" s="689"/>
      <c r="G46" s="49"/>
      <c r="H46" s="903">
        <f>H44*H45</f>
        <v>0</v>
      </c>
      <c r="I46" s="20" t="s">
        <v>902</v>
      </c>
      <c r="J46" s="20"/>
    </row>
    <row r="47" spans="1:10" s="687" customFormat="1" ht="15" thickBot="1" x14ac:dyDescent="0.4">
      <c r="A47" s="49"/>
      <c r="B47" s="49">
        <v>1E-3</v>
      </c>
      <c r="C47" s="106" t="s">
        <v>805</v>
      </c>
      <c r="D47" s="20"/>
      <c r="F47" s="689"/>
      <c r="G47" s="49"/>
      <c r="H47" s="49">
        <v>1E-3</v>
      </c>
      <c r="I47" s="106" t="s">
        <v>805</v>
      </c>
      <c r="J47" s="20"/>
    </row>
    <row r="48" spans="1:10" s="687" customFormat="1" ht="15" thickBot="1" x14ac:dyDescent="0.4">
      <c r="A48" s="49"/>
      <c r="B48" s="553">
        <f>B46*B47</f>
        <v>0</v>
      </c>
      <c r="C48" s="507" t="s">
        <v>903</v>
      </c>
      <c r="D48" s="20"/>
      <c r="F48" s="689"/>
      <c r="G48" s="49"/>
      <c r="H48" s="553">
        <f>H46*H47</f>
        <v>0</v>
      </c>
      <c r="I48" s="507" t="s">
        <v>903</v>
      </c>
      <c r="J48" s="20"/>
    </row>
    <row r="49" spans="1:29" s="687" customFormat="1" ht="15" thickBot="1" x14ac:dyDescent="0.4">
      <c r="A49" s="49"/>
      <c r="B49" s="551">
        <f>'Brewery-Control Data'!$B$10</f>
        <v>123215.153565</v>
      </c>
      <c r="C49" s="639" t="s">
        <v>276</v>
      </c>
      <c r="D49" s="20"/>
      <c r="F49" s="689"/>
      <c r="G49" s="49"/>
      <c r="H49" s="551">
        <f>'Brewery-Control Data'!$B$10</f>
        <v>123215.153565</v>
      </c>
      <c r="I49" s="639" t="s">
        <v>276</v>
      </c>
      <c r="J49" s="20"/>
    </row>
    <row r="50" spans="1:29" s="687" customFormat="1" ht="15" thickBot="1" x14ac:dyDescent="0.4">
      <c r="A50" s="49"/>
      <c r="B50" s="619">
        <f>B48/B49</f>
        <v>0</v>
      </c>
      <c r="C50" s="610" t="s">
        <v>904</v>
      </c>
      <c r="D50" s="20"/>
      <c r="F50" s="689"/>
      <c r="G50" s="49"/>
      <c r="H50" s="619">
        <f>H48/H49</f>
        <v>0</v>
      </c>
      <c r="I50" s="610" t="s">
        <v>904</v>
      </c>
      <c r="J50" s="20"/>
    </row>
    <row r="51" spans="1:29" s="687" customFormat="1" ht="15" thickBot="1" x14ac:dyDescent="0.4">
      <c r="A51" s="49"/>
      <c r="B51" s="656"/>
      <c r="C51" s="534"/>
      <c r="D51" s="20"/>
      <c r="F51" s="689"/>
      <c r="G51" s="49"/>
      <c r="H51" s="656"/>
      <c r="I51" s="534"/>
      <c r="J51" s="20"/>
    </row>
    <row r="52" spans="1:29" s="687" customFormat="1" ht="15" thickBot="1" x14ac:dyDescent="0.4">
      <c r="A52" s="49"/>
      <c r="B52" s="1841" t="s">
        <v>908</v>
      </c>
      <c r="C52" s="1843"/>
      <c r="D52" s="20"/>
      <c r="F52" s="689"/>
      <c r="G52" s="49"/>
      <c r="H52" s="1841" t="s">
        <v>908</v>
      </c>
      <c r="I52" s="1843"/>
      <c r="J52" s="20"/>
    </row>
    <row r="53" spans="1:29" s="687" customFormat="1" x14ac:dyDescent="0.35">
      <c r="A53" s="49"/>
      <c r="B53" s="1137" t="s">
        <v>909</v>
      </c>
      <c r="C53" s="1137"/>
      <c r="D53" s="20"/>
      <c r="F53" s="689"/>
      <c r="G53" s="49"/>
      <c r="H53" s="1137" t="s">
        <v>909</v>
      </c>
      <c r="I53" s="1137"/>
      <c r="J53" s="20"/>
    </row>
    <row r="54" spans="1:29" s="687" customFormat="1" x14ac:dyDescent="0.35">
      <c r="A54" s="49"/>
      <c r="B54" s="1137" t="s">
        <v>910</v>
      </c>
      <c r="C54" s="1137"/>
      <c r="D54" s="20"/>
      <c r="F54" s="689"/>
      <c r="G54" s="49"/>
      <c r="H54" s="1137" t="s">
        <v>910</v>
      </c>
      <c r="I54" s="1137"/>
      <c r="J54" s="20"/>
    </row>
    <row r="55" spans="1:29" s="687" customFormat="1" x14ac:dyDescent="0.35">
      <c r="A55" s="49"/>
      <c r="B55" s="1137"/>
      <c r="C55" s="1137"/>
      <c r="D55" s="20"/>
      <c r="F55" s="689"/>
      <c r="G55" s="49"/>
      <c r="H55" s="1137"/>
      <c r="I55" s="1137"/>
      <c r="J55" s="20"/>
    </row>
    <row r="56" spans="1:29" s="687" customFormat="1" ht="15" thickBot="1" x14ac:dyDescent="0.4">
      <c r="A56" s="911"/>
      <c r="B56" s="188"/>
      <c r="C56" s="188"/>
      <c r="D56" s="912"/>
      <c r="F56" s="689"/>
      <c r="G56" s="911"/>
      <c r="H56" s="188"/>
      <c r="I56" s="188"/>
      <c r="J56" s="912"/>
    </row>
    <row r="57" spans="1:29" ht="15" thickBot="1" x14ac:dyDescent="0.4">
      <c r="A57" s="49"/>
      <c r="B57" s="1841" t="s">
        <v>911</v>
      </c>
      <c r="C57" s="1843"/>
      <c r="D57" s="20"/>
      <c r="E57" s="687"/>
      <c r="F57" s="689"/>
      <c r="G57" s="49"/>
      <c r="H57" s="1841" t="s">
        <v>911</v>
      </c>
      <c r="I57" s="1843"/>
      <c r="J57" s="20"/>
      <c r="K57" s="687"/>
      <c r="L57" s="687"/>
      <c r="M57" s="687"/>
      <c r="N57" s="687"/>
      <c r="O57" s="687"/>
      <c r="P57" s="687"/>
      <c r="Q57" s="687"/>
      <c r="R57" s="687"/>
      <c r="S57" s="687"/>
      <c r="T57" s="687"/>
      <c r="U57" s="687"/>
      <c r="V57" s="687"/>
      <c r="W57" s="687"/>
      <c r="X57" s="687"/>
      <c r="Y57" s="687"/>
      <c r="Z57" s="687"/>
      <c r="AA57" s="687"/>
      <c r="AB57" s="687"/>
      <c r="AC57" s="687"/>
    </row>
    <row r="58" spans="1:29" x14ac:dyDescent="0.35">
      <c r="A58" s="49"/>
      <c r="B58" s="1229">
        <f>B9</f>
        <v>19489600</v>
      </c>
      <c r="C58" s="20" t="str">
        <f>C9</f>
        <v>Total cans purchased (number)</v>
      </c>
      <c r="D58" s="20"/>
      <c r="E58" s="687"/>
      <c r="F58" s="689"/>
      <c r="G58" s="49"/>
      <c r="H58" s="1229">
        <f>H9</f>
        <v>16333000</v>
      </c>
      <c r="I58" s="20" t="str">
        <f>I9</f>
        <v>Total cans purchased (number)</v>
      </c>
      <c r="J58" s="20"/>
      <c r="K58" s="687"/>
      <c r="L58" s="687"/>
      <c r="M58" s="687"/>
      <c r="N58" s="687"/>
      <c r="O58" s="687"/>
      <c r="P58" s="687"/>
      <c r="Q58" s="687"/>
      <c r="R58" s="687"/>
      <c r="S58" s="687"/>
      <c r="T58" s="687"/>
      <c r="U58" s="687"/>
      <c r="V58" s="687"/>
      <c r="W58" s="687"/>
      <c r="X58" s="687"/>
      <c r="Y58" s="687"/>
      <c r="Z58" s="687"/>
      <c r="AA58" s="687"/>
      <c r="AB58" s="687"/>
      <c r="AC58" s="687"/>
    </row>
    <row r="59" spans="1:29" x14ac:dyDescent="0.35">
      <c r="A59" s="49"/>
      <c r="B59" s="504">
        <v>171160</v>
      </c>
      <c r="C59" s="20" t="s">
        <v>912</v>
      </c>
      <c r="D59" s="20"/>
      <c r="E59" s="687"/>
      <c r="F59" s="687"/>
      <c r="G59" s="49"/>
      <c r="H59" s="504">
        <v>171160</v>
      </c>
      <c r="I59" s="20" t="s">
        <v>912</v>
      </c>
      <c r="J59" s="20"/>
      <c r="K59" s="687"/>
      <c r="L59" s="687"/>
      <c r="M59" s="687"/>
      <c r="N59" s="687"/>
      <c r="O59" s="687"/>
      <c r="P59" s="687"/>
      <c r="Q59" s="687"/>
      <c r="R59" s="687"/>
      <c r="S59" s="687"/>
      <c r="T59" s="687"/>
      <c r="U59" s="687"/>
      <c r="V59" s="687"/>
      <c r="W59" s="687"/>
      <c r="X59" s="687"/>
      <c r="Y59" s="687"/>
      <c r="Z59" s="687"/>
      <c r="AA59" s="687"/>
      <c r="AB59" s="687"/>
      <c r="AC59" s="687"/>
    </row>
    <row r="60" spans="1:29" x14ac:dyDescent="0.35">
      <c r="A60" s="49"/>
      <c r="B60" s="913">
        <f>B58/B59</f>
        <v>113.86772610422996</v>
      </c>
      <c r="C60" s="501" t="s">
        <v>913</v>
      </c>
      <c r="D60" s="20"/>
      <c r="E60" s="687"/>
      <c r="F60" s="687"/>
      <c r="G60" s="49"/>
      <c r="H60" s="913">
        <f>H58/H59</f>
        <v>95.425333021734048</v>
      </c>
      <c r="I60" s="501" t="s">
        <v>913</v>
      </c>
      <c r="J60" s="20"/>
      <c r="K60" s="687"/>
      <c r="L60" s="687"/>
      <c r="M60" s="687"/>
      <c r="N60" s="687"/>
      <c r="O60" s="687"/>
      <c r="P60" s="687"/>
      <c r="Q60" s="687"/>
      <c r="R60" s="687"/>
      <c r="S60" s="687"/>
      <c r="T60" s="687"/>
      <c r="U60" s="687"/>
      <c r="V60" s="687"/>
      <c r="W60" s="687"/>
      <c r="X60" s="687"/>
      <c r="Y60" s="687"/>
      <c r="Z60" s="687"/>
      <c r="AA60" s="687"/>
      <c r="AB60" s="687"/>
      <c r="AC60" s="687"/>
    </row>
    <row r="61" spans="1:29" x14ac:dyDescent="0.35">
      <c r="A61" s="49"/>
      <c r="B61" s="499">
        <v>35</v>
      </c>
      <c r="C61" s="1230" t="s">
        <v>878</v>
      </c>
      <c r="D61" s="20"/>
      <c r="E61" s="687"/>
      <c r="F61" s="687"/>
      <c r="G61" s="49"/>
      <c r="H61" s="499">
        <v>35</v>
      </c>
      <c r="I61" s="1230" t="s">
        <v>878</v>
      </c>
      <c r="J61" s="20"/>
      <c r="K61" s="687"/>
      <c r="L61" s="687"/>
      <c r="M61" s="687"/>
      <c r="N61" s="687"/>
      <c r="O61" s="687"/>
      <c r="P61" s="687"/>
      <c r="Q61" s="687"/>
      <c r="R61" s="687"/>
      <c r="S61" s="687"/>
      <c r="T61" s="687"/>
      <c r="U61" s="687"/>
      <c r="V61" s="687"/>
      <c r="W61" s="687"/>
      <c r="X61" s="687"/>
      <c r="Y61" s="687"/>
      <c r="Z61" s="687"/>
      <c r="AA61" s="687"/>
      <c r="AB61" s="687"/>
      <c r="AC61" s="687"/>
    </row>
    <row r="62" spans="1:29" x14ac:dyDescent="0.35">
      <c r="A62" s="49"/>
      <c r="B62" s="1590">
        <v>6.3</v>
      </c>
      <c r="C62" s="20" t="s">
        <v>879</v>
      </c>
      <c r="D62" s="20"/>
      <c r="E62" s="687"/>
      <c r="F62" s="687"/>
      <c r="G62" s="49"/>
      <c r="H62" s="1590">
        <v>6.3</v>
      </c>
      <c r="I62" s="20" t="s">
        <v>879</v>
      </c>
      <c r="J62" s="20"/>
      <c r="K62" s="687"/>
      <c r="L62" s="687"/>
      <c r="M62" s="687"/>
      <c r="N62" s="687"/>
      <c r="O62" s="687"/>
      <c r="P62" s="687"/>
      <c r="Q62" s="687"/>
      <c r="R62" s="687"/>
      <c r="S62" s="687"/>
      <c r="T62" s="687"/>
      <c r="U62" s="687"/>
      <c r="V62" s="687"/>
      <c r="W62" s="687"/>
      <c r="X62" s="687"/>
      <c r="Y62" s="687"/>
      <c r="Z62" s="687"/>
      <c r="AA62" s="687"/>
      <c r="AB62" s="687"/>
      <c r="AC62" s="687"/>
    </row>
    <row r="63" spans="1:29" x14ac:dyDescent="0.35">
      <c r="A63" s="49"/>
      <c r="B63" s="498">
        <f>B61/B62</f>
        <v>5.5555555555555554</v>
      </c>
      <c r="C63" s="20" t="s">
        <v>880</v>
      </c>
      <c r="D63" s="20"/>
      <c r="E63" s="687"/>
      <c r="F63" s="687"/>
      <c r="G63" s="49"/>
      <c r="H63" s="498">
        <f>H61/H62</f>
        <v>5.5555555555555554</v>
      </c>
      <c r="I63" s="20" t="s">
        <v>880</v>
      </c>
      <c r="J63" s="20"/>
      <c r="K63" s="687"/>
      <c r="L63" s="687"/>
      <c r="M63" s="687"/>
      <c r="N63" s="687"/>
      <c r="O63" s="687"/>
      <c r="P63" s="687"/>
      <c r="Q63" s="687"/>
      <c r="R63" s="687"/>
      <c r="S63" s="687"/>
      <c r="T63" s="687"/>
      <c r="U63" s="687"/>
      <c r="V63" s="687"/>
      <c r="W63" s="687"/>
      <c r="X63" s="687"/>
      <c r="Y63" s="687"/>
      <c r="Z63" s="687"/>
      <c r="AA63" s="687"/>
      <c r="AB63" s="687"/>
      <c r="AC63" s="687"/>
    </row>
    <row r="64" spans="1:29" x14ac:dyDescent="0.35">
      <c r="A64" s="49"/>
      <c r="B64" s="1627">
        <f>'Brewery-Control Data'!C40</f>
        <v>10.210000000000001</v>
      </c>
      <c r="C64" s="20" t="s">
        <v>329</v>
      </c>
      <c r="D64" s="20"/>
      <c r="E64" s="687"/>
      <c r="F64" s="687"/>
      <c r="G64" s="49"/>
      <c r="H64" s="1627">
        <f>'Brewery-Control Data'!C40</f>
        <v>10.210000000000001</v>
      </c>
      <c r="I64" s="20" t="s">
        <v>329</v>
      </c>
      <c r="J64" s="20"/>
      <c r="K64" s="687"/>
      <c r="L64" s="687"/>
      <c r="M64" s="687"/>
      <c r="N64" s="687"/>
      <c r="O64" s="687"/>
      <c r="P64" s="687"/>
      <c r="Q64" s="687"/>
      <c r="R64" s="687"/>
      <c r="S64" s="687"/>
      <c r="T64" s="687"/>
      <c r="U64" s="687"/>
      <c r="V64" s="687"/>
      <c r="W64" s="687"/>
      <c r="X64" s="687"/>
      <c r="Y64" s="687"/>
      <c r="Z64" s="687"/>
      <c r="AA64" s="687"/>
      <c r="AB64" s="687"/>
      <c r="AC64" s="687"/>
    </row>
    <row r="65" spans="1:29" ht="15" thickBot="1" x14ac:dyDescent="0.4">
      <c r="A65" s="49"/>
      <c r="B65" s="903">
        <f>B63*B64</f>
        <v>56.722222222222221</v>
      </c>
      <c r="C65" s="20" t="s">
        <v>881</v>
      </c>
      <c r="D65" s="20"/>
      <c r="E65" s="687"/>
      <c r="F65" s="687"/>
      <c r="G65" s="49"/>
      <c r="H65" s="903">
        <f>H63*H64</f>
        <v>56.722222222222221</v>
      </c>
      <c r="I65" s="20" t="s">
        <v>881</v>
      </c>
      <c r="J65" s="20"/>
      <c r="K65" s="687"/>
      <c r="L65" s="687"/>
      <c r="M65" s="687"/>
      <c r="N65" s="687"/>
      <c r="O65" s="687"/>
      <c r="P65" s="687"/>
      <c r="Q65" s="687"/>
      <c r="R65" s="687"/>
      <c r="S65" s="687"/>
      <c r="T65" s="687"/>
      <c r="U65" s="687"/>
      <c r="V65" s="687"/>
      <c r="W65" s="687"/>
      <c r="X65" s="687"/>
      <c r="Y65" s="687"/>
      <c r="Z65" s="687"/>
      <c r="AA65" s="687"/>
      <c r="AB65" s="687"/>
      <c r="AC65" s="687"/>
    </row>
    <row r="66" spans="1:29" ht="15" thickBot="1" x14ac:dyDescent="0.4">
      <c r="A66" s="49"/>
      <c r="B66" s="897">
        <f>B65*B60</f>
        <v>6458.8304640232664</v>
      </c>
      <c r="C66" s="505" t="s">
        <v>914</v>
      </c>
      <c r="D66" s="895"/>
      <c r="E66" s="687"/>
      <c r="F66" s="687"/>
      <c r="G66" s="49"/>
      <c r="H66" s="897">
        <f>H65*H60</f>
        <v>5412.7369452883586</v>
      </c>
      <c r="I66" s="505" t="s">
        <v>914</v>
      </c>
      <c r="J66" s="895"/>
      <c r="K66" s="687"/>
      <c r="L66" s="687"/>
      <c r="M66" s="100"/>
      <c r="N66" s="687"/>
      <c r="O66" s="687"/>
      <c r="P66" s="687"/>
      <c r="Q66" s="687"/>
      <c r="R66" s="687"/>
      <c r="S66" s="687"/>
      <c r="T66" s="687"/>
      <c r="U66" s="687"/>
      <c r="V66" s="687"/>
      <c r="W66" s="687"/>
      <c r="X66" s="687"/>
      <c r="Y66" s="687"/>
      <c r="Z66" s="687"/>
      <c r="AA66" s="687"/>
      <c r="AB66" s="687"/>
      <c r="AC66" s="687"/>
    </row>
    <row r="67" spans="1:29" s="514" customFormat="1" ht="15" thickBot="1" x14ac:dyDescent="0.4">
      <c r="A67" s="49"/>
      <c r="B67" s="551">
        <f>'Brewery-Control Data'!$B$10</f>
        <v>123215.153565</v>
      </c>
      <c r="C67" s="639" t="s">
        <v>276</v>
      </c>
      <c r="D67" s="895"/>
      <c r="E67" s="687"/>
      <c r="F67" s="687"/>
      <c r="G67" s="49"/>
      <c r="H67" s="551">
        <f>'Brewery-Control Data'!$B$10</f>
        <v>123215.153565</v>
      </c>
      <c r="I67" s="639" t="s">
        <v>276</v>
      </c>
      <c r="J67" s="895"/>
      <c r="K67" s="687"/>
      <c r="L67" s="687"/>
      <c r="M67" s="100"/>
      <c r="N67" s="687"/>
      <c r="O67" s="687"/>
      <c r="P67" s="687"/>
      <c r="Q67" s="687"/>
      <c r="R67" s="687"/>
      <c r="S67" s="687"/>
      <c r="T67" s="687"/>
      <c r="U67" s="687"/>
      <c r="V67" s="687"/>
      <c r="W67" s="687"/>
      <c r="X67" s="687"/>
      <c r="Y67" s="687"/>
      <c r="Z67" s="687"/>
      <c r="AA67" s="687"/>
      <c r="AB67" s="687"/>
      <c r="AC67" s="687"/>
    </row>
    <row r="68" spans="1:29" s="514" customFormat="1" ht="15" thickBot="1" x14ac:dyDescent="0.4">
      <c r="A68" s="49"/>
      <c r="B68" s="1039">
        <f>B66/B67</f>
        <v>5.2419124410830062E-2</v>
      </c>
      <c r="C68" s="638" t="s">
        <v>915</v>
      </c>
      <c r="D68" s="895"/>
      <c r="E68" s="687"/>
      <c r="F68" s="687"/>
      <c r="G68" s="49"/>
      <c r="H68" s="1039">
        <f>H66/H67</f>
        <v>4.3929149854388352E-2</v>
      </c>
      <c r="I68" s="638" t="s">
        <v>915</v>
      </c>
      <c r="J68" s="895"/>
      <c r="K68" s="687"/>
      <c r="L68" s="687"/>
      <c r="M68" s="100"/>
      <c r="N68" s="687"/>
      <c r="O68" s="687"/>
      <c r="P68" s="687"/>
      <c r="Q68" s="687"/>
      <c r="R68" s="687"/>
      <c r="S68" s="687"/>
      <c r="T68" s="687"/>
      <c r="U68" s="687"/>
      <c r="V68" s="687"/>
      <c r="W68" s="687"/>
      <c r="X68" s="687"/>
      <c r="Y68" s="687"/>
      <c r="Z68" s="687"/>
      <c r="AA68" s="687"/>
      <c r="AB68" s="687"/>
      <c r="AC68" s="687"/>
    </row>
    <row r="69" spans="1:29" ht="15" thickBot="1" x14ac:dyDescent="0.4">
      <c r="A69" s="49"/>
      <c r="B69" s="689"/>
      <c r="C69" s="689"/>
      <c r="D69" s="20"/>
      <c r="E69" s="687"/>
      <c r="F69" s="174"/>
      <c r="G69" s="49"/>
      <c r="H69" s="689"/>
      <c r="I69" s="689"/>
      <c r="J69" s="20"/>
      <c r="K69" s="687"/>
      <c r="L69" s="687"/>
      <c r="M69" s="100"/>
      <c r="N69" s="705"/>
      <c r="O69" s="171"/>
      <c r="P69" s="687"/>
      <c r="Q69" s="687"/>
      <c r="R69" s="687"/>
      <c r="S69" s="687"/>
      <c r="T69" s="687"/>
      <c r="U69" s="687"/>
      <c r="V69" s="687"/>
      <c r="W69" s="687"/>
      <c r="X69" s="687"/>
      <c r="Y69" s="687"/>
      <c r="Z69" s="687"/>
      <c r="AA69" s="687"/>
      <c r="AB69" s="687"/>
      <c r="AC69" s="687"/>
    </row>
    <row r="70" spans="1:29" s="687" customFormat="1" ht="15" thickBot="1" x14ac:dyDescent="0.4">
      <c r="A70" s="49"/>
      <c r="B70" s="1841" t="s">
        <v>916</v>
      </c>
      <c r="C70" s="1843"/>
      <c r="D70" s="20"/>
      <c r="F70" s="174"/>
      <c r="G70" s="49"/>
      <c r="H70" s="1841" t="s">
        <v>916</v>
      </c>
      <c r="I70" s="1843"/>
      <c r="J70" s="20"/>
    </row>
    <row r="71" spans="1:29" s="687" customFormat="1" x14ac:dyDescent="0.35">
      <c r="A71" s="49"/>
      <c r="B71" s="1229">
        <f>B20</f>
        <v>250000</v>
      </c>
      <c r="C71" s="20" t="str">
        <f>C20</f>
        <v>Total cans purchased (number)</v>
      </c>
      <c r="D71" s="20"/>
      <c r="F71" s="174"/>
      <c r="G71" s="49"/>
      <c r="H71" s="1229">
        <f>H20</f>
        <v>100000</v>
      </c>
      <c r="I71" s="20" t="str">
        <f>I20</f>
        <v>Total cans purchased (number)</v>
      </c>
      <c r="J71" s="20"/>
    </row>
    <row r="72" spans="1:29" s="687" customFormat="1" x14ac:dyDescent="0.35">
      <c r="A72" s="49"/>
      <c r="B72" s="504">
        <v>136928</v>
      </c>
      <c r="C72" s="20" t="s">
        <v>917</v>
      </c>
      <c r="D72" s="20"/>
      <c r="F72" s="174"/>
      <c r="G72" s="49"/>
      <c r="H72" s="504">
        <v>136928</v>
      </c>
      <c r="I72" s="20" t="s">
        <v>917</v>
      </c>
      <c r="J72" s="20"/>
    </row>
    <row r="73" spans="1:29" s="687" customFormat="1" x14ac:dyDescent="0.35">
      <c r="A73" s="49"/>
      <c r="B73" s="913">
        <f>B71/B72</f>
        <v>1.8257770507127833</v>
      </c>
      <c r="C73" s="501" t="s">
        <v>913</v>
      </c>
      <c r="D73" s="20"/>
      <c r="F73" s="174"/>
      <c r="G73" s="49"/>
      <c r="H73" s="913">
        <f>H71/H72</f>
        <v>0.73031082028511329</v>
      </c>
      <c r="I73" s="501" t="s">
        <v>913</v>
      </c>
      <c r="J73" s="20"/>
    </row>
    <row r="74" spans="1:29" s="687" customFormat="1" x14ac:dyDescent="0.35">
      <c r="A74" s="49"/>
      <c r="B74" s="499">
        <v>25</v>
      </c>
      <c r="C74" s="1230" t="s">
        <v>878</v>
      </c>
      <c r="D74" s="20"/>
      <c r="F74" s="174"/>
      <c r="G74" s="49"/>
      <c r="H74" s="499">
        <v>25</v>
      </c>
      <c r="I74" s="1230" t="s">
        <v>878</v>
      </c>
      <c r="J74" s="20"/>
    </row>
    <row r="75" spans="1:29" s="687" customFormat="1" x14ac:dyDescent="0.35">
      <c r="A75" s="49"/>
      <c r="B75" s="1590">
        <v>6.3</v>
      </c>
      <c r="C75" s="20" t="s">
        <v>879</v>
      </c>
      <c r="D75" s="20"/>
      <c r="F75" s="174"/>
      <c r="G75" s="49"/>
      <c r="H75" s="1590">
        <v>6.3</v>
      </c>
      <c r="I75" s="20" t="s">
        <v>879</v>
      </c>
      <c r="J75" s="20"/>
    </row>
    <row r="76" spans="1:29" s="687" customFormat="1" x14ac:dyDescent="0.35">
      <c r="A76" s="49"/>
      <c r="B76" s="498">
        <f>B74/B75</f>
        <v>3.9682539682539684</v>
      </c>
      <c r="C76" s="20" t="s">
        <v>880</v>
      </c>
      <c r="D76" s="20"/>
      <c r="F76" s="174"/>
      <c r="G76" s="49"/>
      <c r="H76" s="498">
        <f>H74/H75</f>
        <v>3.9682539682539684</v>
      </c>
      <c r="I76" s="20" t="s">
        <v>880</v>
      </c>
      <c r="J76" s="20"/>
    </row>
    <row r="77" spans="1:29" s="687" customFormat="1" x14ac:dyDescent="0.35">
      <c r="A77" s="49"/>
      <c r="B77" s="1627">
        <f>'Brewery-Control Data'!$C$40</f>
        <v>10.210000000000001</v>
      </c>
      <c r="C77" s="20" t="s">
        <v>329</v>
      </c>
      <c r="D77" s="20"/>
      <c r="F77" s="174"/>
      <c r="G77" s="49"/>
      <c r="H77" s="1627">
        <f>'Brewery-Control Data'!$C$40</f>
        <v>10.210000000000001</v>
      </c>
      <c r="I77" s="20" t="s">
        <v>329</v>
      </c>
      <c r="J77" s="20"/>
    </row>
    <row r="78" spans="1:29" s="687" customFormat="1" ht="15" thickBot="1" x14ac:dyDescent="0.4">
      <c r="A78" s="49"/>
      <c r="B78" s="903">
        <f>B76*B77</f>
        <v>40.515873015873019</v>
      </c>
      <c r="C78" s="20" t="s">
        <v>881</v>
      </c>
      <c r="D78" s="20"/>
      <c r="F78" s="174"/>
      <c r="G78" s="49"/>
      <c r="H78" s="903">
        <f>H76*H77</f>
        <v>40.515873015873019</v>
      </c>
      <c r="I78" s="20" t="s">
        <v>881</v>
      </c>
      <c r="J78" s="20"/>
    </row>
    <row r="79" spans="1:29" s="687" customFormat="1" ht="15" thickBot="1" x14ac:dyDescent="0.4">
      <c r="A79" s="49"/>
      <c r="B79" s="897">
        <f>B78*B73</f>
        <v>73.972951141974278</v>
      </c>
      <c r="C79" s="505" t="s">
        <v>914</v>
      </c>
      <c r="D79" s="895"/>
      <c r="F79" s="174"/>
      <c r="G79" s="49"/>
      <c r="H79" s="897">
        <f>H78*H73</f>
        <v>29.589180456789713</v>
      </c>
      <c r="I79" s="505" t="s">
        <v>914</v>
      </c>
      <c r="J79" s="895"/>
    </row>
    <row r="80" spans="1:29" s="687" customFormat="1" ht="15" thickBot="1" x14ac:dyDescent="0.4">
      <c r="A80" s="49"/>
      <c r="B80" s="551">
        <f>'Brewery-Control Data'!$B$10</f>
        <v>123215.153565</v>
      </c>
      <c r="C80" s="639" t="s">
        <v>276</v>
      </c>
      <c r="D80" s="895"/>
      <c r="F80" s="174"/>
      <c r="G80" s="49"/>
      <c r="H80" s="551">
        <f>'Brewery-Control Data'!$B$10</f>
        <v>123215.153565</v>
      </c>
      <c r="I80" s="639" t="s">
        <v>276</v>
      </c>
      <c r="J80" s="895"/>
    </row>
    <row r="81" spans="1:10" s="687" customFormat="1" ht="15" thickBot="1" x14ac:dyDescent="0.4">
      <c r="A81" s="49"/>
      <c r="B81" s="1039">
        <f>B79/B80</f>
        <v>6.0035595461844832E-4</v>
      </c>
      <c r="C81" s="638" t="s">
        <v>915</v>
      </c>
      <c r="D81" s="895"/>
      <c r="F81" s="174"/>
      <c r="G81" s="49"/>
      <c r="H81" s="1039">
        <f>H79/H80</f>
        <v>2.4014238184737934E-4</v>
      </c>
      <c r="I81" s="638" t="s">
        <v>915</v>
      </c>
      <c r="J81" s="895"/>
    </row>
    <row r="82" spans="1:10" s="687" customFormat="1" ht="15" thickBot="1" x14ac:dyDescent="0.4">
      <c r="A82" s="49"/>
      <c r="B82" s="689"/>
      <c r="C82" s="689"/>
      <c r="D82" s="20"/>
      <c r="F82" s="174"/>
      <c r="G82" s="49"/>
      <c r="H82" s="689"/>
      <c r="I82" s="689"/>
      <c r="J82" s="20"/>
    </row>
    <row r="83" spans="1:10" s="687" customFormat="1" ht="15" thickBot="1" x14ac:dyDescent="0.4">
      <c r="A83" s="49"/>
      <c r="B83" s="1841" t="s">
        <v>918</v>
      </c>
      <c r="C83" s="1843"/>
      <c r="D83" s="20"/>
      <c r="F83" s="174"/>
      <c r="G83" s="49"/>
      <c r="H83" s="1841" t="s">
        <v>918</v>
      </c>
      <c r="I83" s="1843"/>
      <c r="J83" s="20"/>
    </row>
    <row r="84" spans="1:10" s="687" customFormat="1" x14ac:dyDescent="0.35">
      <c r="A84" s="49"/>
      <c r="B84" s="1229">
        <f>B31</f>
        <v>100000</v>
      </c>
      <c r="C84" s="20" t="str">
        <f>C33</f>
        <v>Total cans purchased (g)</v>
      </c>
      <c r="D84" s="20"/>
      <c r="F84" s="174"/>
      <c r="G84" s="49"/>
      <c r="H84" s="1229">
        <f>H31</f>
        <v>100000</v>
      </c>
      <c r="I84" s="20" t="str">
        <f>I33</f>
        <v>Total cans purchased (g)</v>
      </c>
      <c r="J84" s="20"/>
    </row>
    <row r="85" spans="1:10" s="687" customFormat="1" x14ac:dyDescent="0.35">
      <c r="A85" s="49"/>
      <c r="B85" s="504">
        <v>111254</v>
      </c>
      <c r="C85" s="20" t="s">
        <v>919</v>
      </c>
      <c r="D85" s="20"/>
      <c r="F85" s="174"/>
      <c r="G85" s="49"/>
      <c r="H85" s="504">
        <v>111254</v>
      </c>
      <c r="I85" s="20" t="s">
        <v>919</v>
      </c>
      <c r="J85" s="20"/>
    </row>
    <row r="86" spans="1:10" s="687" customFormat="1" x14ac:dyDescent="0.35">
      <c r="A86" s="49"/>
      <c r="B86" s="913">
        <f>B84/B85</f>
        <v>0.89884408650475489</v>
      </c>
      <c r="C86" s="501" t="s">
        <v>913</v>
      </c>
      <c r="D86" s="20"/>
      <c r="F86" s="174"/>
      <c r="G86" s="49"/>
      <c r="H86" s="913">
        <f>H84/H85</f>
        <v>0.89884408650475489</v>
      </c>
      <c r="I86" s="501" t="s">
        <v>913</v>
      </c>
      <c r="J86" s="20"/>
    </row>
    <row r="87" spans="1:10" s="687" customFormat="1" x14ac:dyDescent="0.35">
      <c r="A87" s="49"/>
      <c r="B87" s="499">
        <v>500</v>
      </c>
      <c r="C87" s="1230" t="s">
        <v>878</v>
      </c>
      <c r="D87" s="20"/>
      <c r="F87" s="174"/>
      <c r="G87" s="49"/>
      <c r="H87" s="499">
        <v>500</v>
      </c>
      <c r="I87" s="1230" t="s">
        <v>878</v>
      </c>
      <c r="J87" s="20"/>
    </row>
    <row r="88" spans="1:10" s="687" customFormat="1" x14ac:dyDescent="0.35">
      <c r="A88" s="49"/>
      <c r="B88" s="1590">
        <v>6.3</v>
      </c>
      <c r="C88" s="20" t="s">
        <v>879</v>
      </c>
      <c r="D88" s="20"/>
      <c r="F88" s="174"/>
      <c r="G88" s="49"/>
      <c r="H88" s="1590">
        <v>6.3</v>
      </c>
      <c r="I88" s="20" t="s">
        <v>879</v>
      </c>
      <c r="J88" s="20"/>
    </row>
    <row r="89" spans="1:10" s="687" customFormat="1" x14ac:dyDescent="0.35">
      <c r="A89" s="49"/>
      <c r="B89" s="498">
        <f>B87/B88</f>
        <v>79.365079365079367</v>
      </c>
      <c r="C89" s="20" t="s">
        <v>880</v>
      </c>
      <c r="D89" s="20"/>
      <c r="F89" s="174"/>
      <c r="G89" s="49"/>
      <c r="H89" s="498">
        <f>H87/H88</f>
        <v>79.365079365079367</v>
      </c>
      <c r="I89" s="20" t="s">
        <v>880</v>
      </c>
      <c r="J89" s="20"/>
    </row>
    <row r="90" spans="1:10" s="687" customFormat="1" x14ac:dyDescent="0.35">
      <c r="A90" s="49"/>
      <c r="B90" s="1627">
        <f>'Brewery-Control Data'!$C$40</f>
        <v>10.210000000000001</v>
      </c>
      <c r="C90" s="20" t="s">
        <v>329</v>
      </c>
      <c r="D90" s="20"/>
      <c r="F90" s="174"/>
      <c r="G90" s="49"/>
      <c r="H90" s="1627">
        <f>'Brewery-Control Data'!$C$40</f>
        <v>10.210000000000001</v>
      </c>
      <c r="I90" s="20" t="s">
        <v>329</v>
      </c>
      <c r="J90" s="20"/>
    </row>
    <row r="91" spans="1:10" s="687" customFormat="1" ht="15" thickBot="1" x14ac:dyDescent="0.4">
      <c r="A91" s="49"/>
      <c r="B91" s="903">
        <f>B89*B90</f>
        <v>810.31746031746036</v>
      </c>
      <c r="C91" s="20" t="s">
        <v>881</v>
      </c>
      <c r="D91" s="20"/>
      <c r="F91" s="174"/>
      <c r="G91" s="49"/>
      <c r="H91" s="903">
        <f>H89*H90</f>
        <v>810.31746031746036</v>
      </c>
      <c r="I91" s="20" t="s">
        <v>881</v>
      </c>
      <c r="J91" s="20"/>
    </row>
    <row r="92" spans="1:10" s="687" customFormat="1" ht="15" thickBot="1" x14ac:dyDescent="0.4">
      <c r="A92" s="49"/>
      <c r="B92" s="897">
        <f>B91*B86</f>
        <v>728.34905739790065</v>
      </c>
      <c r="C92" s="505" t="s">
        <v>914</v>
      </c>
      <c r="D92" s="20"/>
      <c r="F92" s="174"/>
      <c r="G92" s="49"/>
      <c r="H92" s="897">
        <f>H91*H86</f>
        <v>728.34905739790065</v>
      </c>
      <c r="I92" s="505" t="s">
        <v>914</v>
      </c>
      <c r="J92" s="20"/>
    </row>
    <row r="93" spans="1:10" s="687" customFormat="1" ht="15" thickBot="1" x14ac:dyDescent="0.4">
      <c r="A93" s="49"/>
      <c r="B93" s="551">
        <f>'Brewery-Control Data'!$B$10</f>
        <v>123215.153565</v>
      </c>
      <c r="C93" s="639" t="s">
        <v>276</v>
      </c>
      <c r="D93" s="20"/>
      <c r="F93" s="174"/>
      <c r="G93" s="49"/>
      <c r="H93" s="551">
        <f>'Brewery-Control Data'!$B$10</f>
        <v>123215.153565</v>
      </c>
      <c r="I93" s="639" t="s">
        <v>276</v>
      </c>
      <c r="J93" s="20"/>
    </row>
    <row r="94" spans="1:10" s="687" customFormat="1" ht="15" thickBot="1" x14ac:dyDescent="0.4">
      <c r="A94" s="49"/>
      <c r="B94" s="1140">
        <f>B92/B93</f>
        <v>5.9111970916277991E-3</v>
      </c>
      <c r="C94" s="638" t="s">
        <v>915</v>
      </c>
      <c r="D94" s="20"/>
      <c r="F94" s="174"/>
      <c r="G94" s="49"/>
      <c r="H94" s="1140">
        <f>H92/H93</f>
        <v>5.9111970916277991E-3</v>
      </c>
      <c r="I94" s="638" t="s">
        <v>915</v>
      </c>
      <c r="J94" s="20"/>
    </row>
    <row r="95" spans="1:10" s="687" customFormat="1" ht="15" thickBot="1" x14ac:dyDescent="0.4">
      <c r="A95" s="49"/>
      <c r="B95" s="689"/>
      <c r="C95" s="689"/>
      <c r="D95" s="20"/>
      <c r="F95" s="174"/>
      <c r="G95" s="49"/>
      <c r="H95" s="689"/>
      <c r="I95" s="689"/>
      <c r="J95" s="20"/>
    </row>
    <row r="96" spans="1:10" s="687" customFormat="1" ht="15" thickBot="1" x14ac:dyDescent="0.4">
      <c r="A96" s="49"/>
      <c r="B96" s="1841" t="s">
        <v>920</v>
      </c>
      <c r="C96" s="1843"/>
      <c r="D96" s="20"/>
      <c r="F96" s="174"/>
      <c r="G96" s="49"/>
      <c r="H96" s="1841" t="s">
        <v>920</v>
      </c>
      <c r="I96" s="1843"/>
      <c r="J96" s="20"/>
    </row>
    <row r="97" spans="1:10" s="687" customFormat="1" x14ac:dyDescent="0.35">
      <c r="A97" s="49"/>
      <c r="B97" s="1229">
        <f>B42</f>
        <v>0</v>
      </c>
      <c r="C97" s="20" t="str">
        <f>C48</f>
        <v>Emissions from aluminum production (kg CO2e)</v>
      </c>
      <c r="D97" s="20"/>
      <c r="F97" s="174"/>
      <c r="G97" s="49"/>
      <c r="H97" s="1229">
        <f>H42</f>
        <v>0</v>
      </c>
      <c r="I97" s="20" t="str">
        <f>I48</f>
        <v>Emissions from aluminum production (kg CO2e)</v>
      </c>
      <c r="J97" s="20"/>
    </row>
    <row r="98" spans="1:10" s="687" customFormat="1" x14ac:dyDescent="0.35">
      <c r="A98" s="49"/>
      <c r="B98" s="504">
        <v>82896</v>
      </c>
      <c r="C98" s="20" t="s">
        <v>921</v>
      </c>
      <c r="D98" s="20"/>
      <c r="F98" s="174"/>
      <c r="G98" s="49"/>
      <c r="H98" s="504">
        <v>82896</v>
      </c>
      <c r="I98" s="20" t="s">
        <v>921</v>
      </c>
      <c r="J98" s="20"/>
    </row>
    <row r="99" spans="1:10" s="687" customFormat="1" x14ac:dyDescent="0.35">
      <c r="A99" s="49"/>
      <c r="B99" s="913">
        <f>B97/B98</f>
        <v>0</v>
      </c>
      <c r="C99" s="501" t="s">
        <v>913</v>
      </c>
      <c r="D99" s="20"/>
      <c r="F99" s="174"/>
      <c r="G99" s="49"/>
      <c r="H99" s="913">
        <f>H97/H98</f>
        <v>0</v>
      </c>
      <c r="I99" s="501" t="s">
        <v>913</v>
      </c>
      <c r="J99" s="20"/>
    </row>
    <row r="100" spans="1:10" s="687" customFormat="1" x14ac:dyDescent="0.35">
      <c r="A100" s="49"/>
      <c r="B100" s="499">
        <v>30</v>
      </c>
      <c r="C100" s="20" t="s">
        <v>878</v>
      </c>
      <c r="D100" s="20"/>
      <c r="F100" s="174"/>
      <c r="G100" s="49"/>
      <c r="H100" s="499">
        <v>30</v>
      </c>
      <c r="I100" s="20" t="s">
        <v>878</v>
      </c>
      <c r="J100" s="20"/>
    </row>
    <row r="101" spans="1:10" s="687" customFormat="1" x14ac:dyDescent="0.35">
      <c r="A101" s="49"/>
      <c r="B101" s="1590">
        <v>6.3</v>
      </c>
      <c r="C101" s="20" t="s">
        <v>879</v>
      </c>
      <c r="D101" s="20"/>
      <c r="F101" s="174"/>
      <c r="G101" s="49"/>
      <c r="H101" s="1590">
        <v>6.3</v>
      </c>
      <c r="I101" s="20" t="s">
        <v>879</v>
      </c>
      <c r="J101" s="20"/>
    </row>
    <row r="102" spans="1:10" s="687" customFormat="1" x14ac:dyDescent="0.35">
      <c r="A102" s="49"/>
      <c r="B102" s="498">
        <f>B100/B101</f>
        <v>4.7619047619047619</v>
      </c>
      <c r="C102" s="20" t="s">
        <v>880</v>
      </c>
      <c r="D102" s="20"/>
      <c r="F102" s="174"/>
      <c r="G102" s="49"/>
      <c r="H102" s="498">
        <f>H100/H101</f>
        <v>4.7619047619047619</v>
      </c>
      <c r="I102" s="20" t="s">
        <v>880</v>
      </c>
      <c r="J102" s="20"/>
    </row>
    <row r="103" spans="1:10" s="687" customFormat="1" x14ac:dyDescent="0.35">
      <c r="A103" s="49"/>
      <c r="B103" s="1627">
        <f>'Brewery-Control Data'!$C$40</f>
        <v>10.210000000000001</v>
      </c>
      <c r="C103" s="20" t="s">
        <v>329</v>
      </c>
      <c r="D103" s="20"/>
      <c r="F103" s="174"/>
      <c r="G103" s="49"/>
      <c r="H103" s="1627">
        <f>'Brewery-Control Data'!$C$40</f>
        <v>10.210000000000001</v>
      </c>
      <c r="I103" s="20" t="s">
        <v>329</v>
      </c>
      <c r="J103" s="20"/>
    </row>
    <row r="104" spans="1:10" s="687" customFormat="1" ht="15" thickBot="1" x14ac:dyDescent="0.4">
      <c r="A104" s="49"/>
      <c r="B104" s="903">
        <f>B102*B103</f>
        <v>48.61904761904762</v>
      </c>
      <c r="C104" s="20" t="s">
        <v>881</v>
      </c>
      <c r="D104" s="20"/>
      <c r="F104" s="174"/>
      <c r="G104" s="49"/>
      <c r="H104" s="903">
        <f>H102*H103</f>
        <v>48.61904761904762</v>
      </c>
      <c r="I104" s="20" t="s">
        <v>881</v>
      </c>
      <c r="J104" s="20"/>
    </row>
    <row r="105" spans="1:10" s="687" customFormat="1" ht="15" thickBot="1" x14ac:dyDescent="0.4">
      <c r="A105" s="49"/>
      <c r="B105" s="897">
        <f>B104*B99</f>
        <v>0</v>
      </c>
      <c r="C105" s="505" t="s">
        <v>914</v>
      </c>
      <c r="D105" s="895"/>
      <c r="F105" s="174"/>
      <c r="G105" s="49"/>
      <c r="H105" s="897">
        <f>H104*H99</f>
        <v>0</v>
      </c>
      <c r="I105" s="505" t="s">
        <v>914</v>
      </c>
      <c r="J105" s="895"/>
    </row>
    <row r="106" spans="1:10" s="687" customFormat="1" ht="15" thickBot="1" x14ac:dyDescent="0.4">
      <c r="A106" s="49"/>
      <c r="B106" s="551">
        <f>'Brewery-Control Data'!$B$10</f>
        <v>123215.153565</v>
      </c>
      <c r="C106" s="639" t="s">
        <v>276</v>
      </c>
      <c r="D106" s="895"/>
      <c r="F106" s="174"/>
      <c r="G106" s="49"/>
      <c r="H106" s="551">
        <f>'Brewery-Control Data'!$B$10</f>
        <v>123215.153565</v>
      </c>
      <c r="I106" s="639" t="s">
        <v>276</v>
      </c>
      <c r="J106" s="895"/>
    </row>
    <row r="107" spans="1:10" s="687" customFormat="1" ht="15" thickBot="1" x14ac:dyDescent="0.4">
      <c r="A107" s="49"/>
      <c r="B107" s="1140">
        <f>B105/B106</f>
        <v>0</v>
      </c>
      <c r="C107" s="638" t="s">
        <v>915</v>
      </c>
      <c r="D107" s="895"/>
      <c r="F107" s="174"/>
      <c r="G107" s="49"/>
      <c r="H107" s="1140">
        <f>H105/H106</f>
        <v>0</v>
      </c>
      <c r="I107" s="638" t="s">
        <v>915</v>
      </c>
      <c r="J107" s="895"/>
    </row>
    <row r="108" spans="1:10" s="687" customFormat="1" ht="15" thickBot="1" x14ac:dyDescent="0.4">
      <c r="A108" s="49"/>
      <c r="B108" s="1138"/>
      <c r="C108" s="1138"/>
      <c r="D108" s="895"/>
      <c r="F108" s="174"/>
      <c r="G108" s="49"/>
      <c r="H108" s="1138"/>
      <c r="I108" s="1138"/>
      <c r="J108" s="895"/>
    </row>
    <row r="109" spans="1:10" s="687" customFormat="1" ht="15" thickBot="1" x14ac:dyDescent="0.4">
      <c r="A109" s="49"/>
      <c r="B109" s="1841" t="s">
        <v>922</v>
      </c>
      <c r="C109" s="1843"/>
      <c r="D109" s="895"/>
      <c r="F109" s="174"/>
      <c r="G109" s="49"/>
      <c r="H109" s="1841" t="s">
        <v>922</v>
      </c>
      <c r="I109" s="1843"/>
      <c r="J109" s="895"/>
    </row>
    <row r="110" spans="1:10" s="687" customFormat="1" x14ac:dyDescent="0.35">
      <c r="A110" s="49"/>
      <c r="B110" s="1139">
        <v>10</v>
      </c>
      <c r="C110" s="501" t="s">
        <v>923</v>
      </c>
      <c r="D110" s="895"/>
      <c r="F110" s="174"/>
      <c r="G110" s="49"/>
      <c r="H110" s="1139">
        <v>9</v>
      </c>
      <c r="I110" s="501" t="s">
        <v>923</v>
      </c>
      <c r="J110" s="895"/>
    </row>
    <row r="111" spans="1:10" s="687" customFormat="1" x14ac:dyDescent="0.35">
      <c r="A111" s="49"/>
      <c r="B111" s="499">
        <v>30</v>
      </c>
      <c r="C111" s="20" t="s">
        <v>878</v>
      </c>
      <c r="D111" s="895"/>
      <c r="F111" s="174"/>
      <c r="G111" s="49"/>
      <c r="H111" s="499">
        <v>30</v>
      </c>
      <c r="I111" s="20" t="s">
        <v>878</v>
      </c>
      <c r="J111" s="895"/>
    </row>
    <row r="112" spans="1:10" s="687" customFormat="1" x14ac:dyDescent="0.35">
      <c r="A112" s="49"/>
      <c r="B112" s="1627">
        <f>'Brewery-Control Data'!$C$39</f>
        <v>6.3</v>
      </c>
      <c r="C112" s="20" t="s">
        <v>879</v>
      </c>
      <c r="D112" s="895"/>
      <c r="F112" s="174"/>
      <c r="G112" s="49"/>
      <c r="H112" s="1627">
        <f>'Brewery-Control Data'!$C$39</f>
        <v>6.3</v>
      </c>
      <c r="I112" s="20" t="s">
        <v>879</v>
      </c>
      <c r="J112" s="895"/>
    </row>
    <row r="113" spans="1:29" s="687" customFormat="1" x14ac:dyDescent="0.35">
      <c r="A113" s="49"/>
      <c r="B113" s="498">
        <f>B111/B112</f>
        <v>4.7619047619047619</v>
      </c>
      <c r="C113" s="20" t="s">
        <v>880</v>
      </c>
      <c r="D113" s="895"/>
      <c r="F113" s="174"/>
      <c r="G113" s="49"/>
      <c r="H113" s="498">
        <f>H111/H112</f>
        <v>4.7619047619047619</v>
      </c>
      <c r="I113" s="20" t="s">
        <v>880</v>
      </c>
      <c r="J113" s="895"/>
    </row>
    <row r="114" spans="1:29" s="687" customFormat="1" x14ac:dyDescent="0.35">
      <c r="A114" s="49"/>
      <c r="B114" s="1627">
        <f>'Brewery-Control Data'!$C$40</f>
        <v>10.210000000000001</v>
      </c>
      <c r="C114" s="20" t="s">
        <v>329</v>
      </c>
      <c r="D114" s="895"/>
      <c r="F114" s="174"/>
      <c r="G114" s="49"/>
      <c r="H114" s="1627">
        <f>'Brewery-Control Data'!$C$40</f>
        <v>10.210000000000001</v>
      </c>
      <c r="I114" s="20" t="s">
        <v>329</v>
      </c>
      <c r="J114" s="895"/>
    </row>
    <row r="115" spans="1:29" s="687" customFormat="1" ht="15" thickBot="1" x14ac:dyDescent="0.4">
      <c r="A115" s="49"/>
      <c r="B115" s="903">
        <f>B113*B114</f>
        <v>48.61904761904762</v>
      </c>
      <c r="C115" s="20" t="s">
        <v>881</v>
      </c>
      <c r="D115" s="895"/>
      <c r="F115" s="174"/>
      <c r="G115" s="49"/>
      <c r="H115" s="903">
        <f>H113*H114</f>
        <v>48.61904761904762</v>
      </c>
      <c r="I115" s="20" t="s">
        <v>881</v>
      </c>
      <c r="J115" s="895"/>
    </row>
    <row r="116" spans="1:29" s="687" customFormat="1" ht="15" thickBot="1" x14ac:dyDescent="0.4">
      <c r="A116" s="49"/>
      <c r="B116" s="897">
        <f>B115*B110</f>
        <v>486.1904761904762</v>
      </c>
      <c r="C116" s="505" t="s">
        <v>914</v>
      </c>
      <c r="D116" s="895"/>
      <c r="F116" s="174"/>
      <c r="G116" s="49"/>
      <c r="H116" s="897">
        <f>H115*H110</f>
        <v>437.57142857142856</v>
      </c>
      <c r="I116" s="505" t="s">
        <v>914</v>
      </c>
      <c r="J116" s="895"/>
    </row>
    <row r="117" spans="1:29" s="687" customFormat="1" ht="15" thickBot="1" x14ac:dyDescent="0.4">
      <c r="A117" s="49"/>
      <c r="B117" s="551">
        <f>'Brewery-Control Data'!$B$10</f>
        <v>123215.153565</v>
      </c>
      <c r="C117" s="639" t="s">
        <v>276</v>
      </c>
      <c r="D117" s="895"/>
      <c r="F117" s="174"/>
      <c r="G117" s="49"/>
      <c r="H117" s="551">
        <f>'Brewery-Control Data'!$B$10</f>
        <v>123215.153565</v>
      </c>
      <c r="I117" s="639" t="s">
        <v>276</v>
      </c>
      <c r="J117" s="895"/>
    </row>
    <row r="118" spans="1:29" s="687" customFormat="1" ht="15" thickBot="1" x14ac:dyDescent="0.4">
      <c r="A118" s="49"/>
      <c r="B118" s="1140">
        <f>B116/B117</f>
        <v>3.9458659273917543E-3</v>
      </c>
      <c r="C118" s="638" t="s">
        <v>915</v>
      </c>
      <c r="D118" s="895"/>
      <c r="F118" s="174"/>
      <c r="G118" s="49"/>
      <c r="H118" s="1140">
        <f>H116/H117</f>
        <v>3.5512793346525792E-3</v>
      </c>
      <c r="I118" s="638" t="s">
        <v>915</v>
      </c>
      <c r="J118" s="895"/>
    </row>
    <row r="119" spans="1:29" s="687" customFormat="1" x14ac:dyDescent="0.35">
      <c r="A119" s="49"/>
      <c r="B119" s="689"/>
      <c r="C119" s="689"/>
      <c r="D119" s="20"/>
      <c r="F119" s="174"/>
      <c r="G119" s="49"/>
      <c r="H119" s="689"/>
      <c r="I119" s="689"/>
      <c r="J119" s="20"/>
    </row>
    <row r="120" spans="1:29" s="687" customFormat="1" ht="15" thickBot="1" x14ac:dyDescent="0.4">
      <c r="A120" s="911"/>
      <c r="B120" s="188"/>
      <c r="C120" s="188"/>
      <c r="D120" s="912"/>
      <c r="F120" s="174"/>
      <c r="G120" s="911"/>
      <c r="H120" s="188"/>
      <c r="I120" s="188"/>
      <c r="J120" s="912"/>
    </row>
    <row r="121" spans="1:29" s="514" customFormat="1" ht="15" thickBot="1" x14ac:dyDescent="0.4">
      <c r="A121" s="49"/>
      <c r="B121" s="1841" t="s">
        <v>924</v>
      </c>
      <c r="C121" s="1843"/>
      <c r="D121" s="20"/>
      <c r="E121" s="687"/>
      <c r="F121" s="174"/>
      <c r="G121" s="49"/>
      <c r="H121" s="1841" t="s">
        <v>924</v>
      </c>
      <c r="I121" s="1843"/>
      <c r="J121" s="20"/>
      <c r="K121" s="687"/>
      <c r="L121" s="687"/>
      <c r="M121" s="687"/>
      <c r="N121" s="687"/>
      <c r="O121" s="687"/>
      <c r="P121" s="687"/>
      <c r="Q121" s="687"/>
      <c r="R121" s="687"/>
      <c r="S121" s="687"/>
      <c r="T121" s="687"/>
      <c r="U121" s="687"/>
      <c r="V121" s="687"/>
      <c r="W121" s="687"/>
      <c r="X121" s="687"/>
      <c r="Y121" s="687"/>
      <c r="Z121" s="687"/>
      <c r="AA121" s="687"/>
      <c r="AB121" s="687"/>
      <c r="AC121" s="687"/>
    </row>
    <row r="122" spans="1:29" s="514" customFormat="1" ht="15" thickBot="1" x14ac:dyDescent="0.4">
      <c r="A122" s="49"/>
      <c r="B122" s="553">
        <f>B15+B26+B37+B48+B66+B79+B92+B105+B116</f>
        <v>2265235.5904687527</v>
      </c>
      <c r="C122" s="507" t="s">
        <v>925</v>
      </c>
      <c r="D122" s="106"/>
      <c r="E122" s="457"/>
      <c r="F122" s="174"/>
      <c r="G122" s="49"/>
      <c r="H122" s="553">
        <f>H15+H26+H37+H48+H66+H79+H92+H105+H116</f>
        <v>1886369.2087117143</v>
      </c>
      <c r="I122" s="507" t="s">
        <v>925</v>
      </c>
      <c r="J122" s="106"/>
      <c r="K122" s="687"/>
      <c r="L122" s="687"/>
      <c r="M122" s="687"/>
      <c r="N122" s="687"/>
      <c r="O122" s="687"/>
      <c r="P122" s="687"/>
      <c r="Q122" s="687"/>
      <c r="R122" s="687"/>
      <c r="S122" s="687"/>
      <c r="T122" s="687"/>
      <c r="U122" s="687"/>
      <c r="V122" s="687"/>
      <c r="W122" s="687"/>
      <c r="X122" s="687"/>
      <c r="Y122" s="687"/>
      <c r="Z122" s="687"/>
      <c r="AA122" s="687"/>
      <c r="AB122" s="687"/>
      <c r="AC122" s="687"/>
    </row>
    <row r="123" spans="1:29" s="514" customFormat="1" ht="15" thickBot="1" x14ac:dyDescent="0.4">
      <c r="A123" s="49"/>
      <c r="B123" s="551">
        <f>'Brewery-Control Data'!$B$10</f>
        <v>123215.153565</v>
      </c>
      <c r="C123" s="639" t="s">
        <v>276</v>
      </c>
      <c r="D123" s="106"/>
      <c r="E123" s="457"/>
      <c r="F123" s="687"/>
      <c r="G123" s="49"/>
      <c r="H123" s="551">
        <f>'Brewery-Control Data'!$B$10</f>
        <v>123215.153565</v>
      </c>
      <c r="I123" s="639" t="s">
        <v>276</v>
      </c>
      <c r="J123" s="106"/>
      <c r="K123" s="687"/>
      <c r="L123" s="687"/>
      <c r="M123" s="687"/>
      <c r="N123" s="687"/>
      <c r="O123" s="687"/>
      <c r="P123" s="687"/>
      <c r="Q123" s="687"/>
      <c r="R123" s="687"/>
      <c r="S123" s="687"/>
      <c r="T123" s="687"/>
      <c r="U123" s="687"/>
      <c r="V123" s="687"/>
      <c r="W123" s="687"/>
      <c r="X123" s="687"/>
      <c r="Y123" s="687"/>
      <c r="Z123" s="687"/>
      <c r="AA123" s="687"/>
      <c r="AB123" s="687"/>
      <c r="AC123" s="687"/>
    </row>
    <row r="124" spans="1:29" s="514" customFormat="1" ht="15" thickBot="1" x14ac:dyDescent="0.4">
      <c r="A124" s="836"/>
      <c r="B124" s="506">
        <f>B122/B123</f>
        <v>18.384391245138264</v>
      </c>
      <c r="C124" s="685" t="s">
        <v>926</v>
      </c>
      <c r="D124" s="866"/>
      <c r="E124" s="457"/>
      <c r="F124" s="687"/>
      <c r="G124" s="836"/>
      <c r="H124" s="506">
        <f>H122/H123</f>
        <v>15.309555311446276</v>
      </c>
      <c r="I124" s="685" t="s">
        <v>926</v>
      </c>
      <c r="J124" s="866"/>
      <c r="K124" s="687"/>
      <c r="L124" s="687"/>
      <c r="M124" s="687"/>
      <c r="N124" s="687"/>
      <c r="O124" s="687"/>
      <c r="P124" s="687"/>
      <c r="Q124" s="687"/>
      <c r="R124" s="687"/>
      <c r="S124" s="687"/>
      <c r="T124" s="687"/>
      <c r="U124" s="687"/>
      <c r="V124" s="687"/>
      <c r="W124" s="687"/>
      <c r="X124" s="687"/>
      <c r="Y124" s="687"/>
      <c r="Z124" s="687"/>
      <c r="AA124" s="687"/>
      <c r="AB124" s="687"/>
      <c r="AC124" s="687"/>
    </row>
    <row r="126" spans="1:29" s="687" customFormat="1" x14ac:dyDescent="0.35"/>
    <row r="127" spans="1:29" s="687" customFormat="1" ht="15" thickBot="1" x14ac:dyDescent="0.4"/>
    <row r="128" spans="1:29" s="687" customFormat="1" ht="16" thickBot="1" x14ac:dyDescent="0.4">
      <c r="A128" s="842" t="s">
        <v>927</v>
      </c>
      <c r="B128" s="546"/>
    </row>
    <row r="129" spans="1:29" s="687" customFormat="1" ht="16" thickBot="1" x14ac:dyDescent="0.4">
      <c r="A129" s="900"/>
      <c r="B129" s="594"/>
    </row>
    <row r="130" spans="1:29" s="687" customFormat="1" ht="15" thickBot="1" x14ac:dyDescent="0.4">
      <c r="B130" s="1841" t="s">
        <v>924</v>
      </c>
      <c r="C130" s="1843"/>
    </row>
    <row r="131" spans="1:29" s="687" customFormat="1" ht="15" thickBot="1" x14ac:dyDescent="0.4">
      <c r="B131" s="553">
        <f>B122+H122</f>
        <v>4151604.7991804667</v>
      </c>
      <c r="C131" s="507" t="s">
        <v>925</v>
      </c>
    </row>
    <row r="132" spans="1:29" s="687" customFormat="1" ht="15" thickBot="1" x14ac:dyDescent="0.4">
      <c r="B132" s="551">
        <f>'Brewery-Control Data'!H10</f>
        <v>211225.97753999999</v>
      </c>
      <c r="C132" s="639" t="s">
        <v>276</v>
      </c>
    </row>
    <row r="133" spans="1:29" s="687" customFormat="1" ht="15" thickBot="1" x14ac:dyDescent="0.4">
      <c r="B133" s="506">
        <f>B131/B132</f>
        <v>19.654802158007648</v>
      </c>
      <c r="C133" s="685" t="s">
        <v>926</v>
      </c>
    </row>
    <row r="134" spans="1:29" s="687" customFormat="1" x14ac:dyDescent="0.35"/>
    <row r="135" spans="1:29" ht="15" thickBot="1" x14ac:dyDescent="0.4">
      <c r="A135" s="1702" t="s">
        <v>499</v>
      </c>
      <c r="B135" s="1702"/>
      <c r="C135" s="1702"/>
      <c r="D135" s="1702"/>
      <c r="E135" s="1702"/>
      <c r="F135" s="687"/>
      <c r="G135" s="687"/>
      <c r="H135" s="687"/>
      <c r="I135" s="687"/>
      <c r="J135" s="687"/>
      <c r="K135" s="687"/>
      <c r="L135" s="687"/>
      <c r="M135" s="687"/>
      <c r="N135" s="687"/>
      <c r="O135" s="687"/>
      <c r="P135" s="687"/>
      <c r="Q135" s="687"/>
      <c r="R135" s="687"/>
      <c r="S135" s="687"/>
      <c r="T135" s="687"/>
      <c r="U135" s="687"/>
      <c r="V135" s="687"/>
      <c r="W135" s="687"/>
      <c r="X135" s="687"/>
      <c r="Y135" s="687"/>
      <c r="Z135" s="687"/>
      <c r="AA135" s="687"/>
      <c r="AB135" s="687"/>
      <c r="AC135" s="687"/>
    </row>
    <row r="136" spans="1:29" s="514" customFormat="1" ht="15" thickTop="1" x14ac:dyDescent="0.35">
      <c r="A136" s="688" t="s">
        <v>928</v>
      </c>
      <c r="B136" s="687"/>
      <c r="C136" s="687"/>
      <c r="D136" s="687"/>
      <c r="E136" s="687"/>
      <c r="F136" s="108"/>
      <c r="G136" s="108"/>
      <c r="H136" s="108"/>
      <c r="I136" s="687"/>
      <c r="J136" s="687"/>
      <c r="K136" s="687"/>
      <c r="L136" s="687"/>
      <c r="M136" s="687"/>
      <c r="N136" s="687"/>
      <c r="O136" s="457"/>
      <c r="P136" s="457"/>
      <c r="Q136" s="457"/>
      <c r="R136" s="457"/>
      <c r="S136" s="457"/>
      <c r="T136" s="457"/>
      <c r="U136" s="457"/>
      <c r="V136" s="457"/>
      <c r="W136" s="457"/>
      <c r="X136" s="457"/>
      <c r="Y136" s="687"/>
      <c r="Z136" s="687"/>
      <c r="AA136" s="687"/>
      <c r="AB136" s="687"/>
      <c r="AC136" s="687"/>
    </row>
    <row r="137" spans="1:29" x14ac:dyDescent="0.35">
      <c r="B137" s="690" t="s">
        <v>929</v>
      </c>
      <c r="C137" s="687"/>
      <c r="D137" s="687"/>
      <c r="E137" s="687"/>
      <c r="F137" s="108"/>
      <c r="G137" s="108"/>
      <c r="H137" s="108"/>
      <c r="I137" s="687"/>
      <c r="J137" s="687"/>
      <c r="K137" s="687"/>
      <c r="L137" s="687"/>
      <c r="M137" s="687"/>
      <c r="N137" s="687"/>
      <c r="O137" s="457"/>
      <c r="P137" s="457"/>
      <c r="Q137" s="457"/>
      <c r="R137" s="457"/>
      <c r="S137" s="457"/>
      <c r="T137" s="457"/>
      <c r="U137" s="457"/>
      <c r="V137" s="457"/>
      <c r="W137" s="457"/>
      <c r="X137" s="457"/>
      <c r="Y137" s="687"/>
      <c r="Z137" s="687"/>
      <c r="AA137" s="687"/>
      <c r="AB137" s="687"/>
      <c r="AC137" s="687"/>
    </row>
    <row r="138" spans="1:29" s="457" customFormat="1" x14ac:dyDescent="0.35">
      <c r="B138" s="687"/>
      <c r="C138" s="687"/>
      <c r="D138" s="687"/>
      <c r="E138" s="687"/>
      <c r="F138" s="108"/>
      <c r="G138" s="108"/>
      <c r="H138" s="108"/>
      <c r="J138" s="108"/>
      <c r="K138" s="108"/>
      <c r="L138" s="108"/>
      <c r="R138" s="184"/>
      <c r="S138" s="247"/>
      <c r="T138" s="183"/>
      <c r="Y138" s="687"/>
    </row>
    <row r="139" spans="1:29" s="457" customFormat="1" x14ac:dyDescent="0.35">
      <c r="A139" s="298" t="s">
        <v>930</v>
      </c>
      <c r="B139" s="108"/>
      <c r="C139" s="108"/>
      <c r="D139" s="108"/>
      <c r="E139" s="108"/>
      <c r="F139" s="108"/>
      <c r="G139" s="108"/>
      <c r="H139" s="108"/>
      <c r="J139" s="108"/>
      <c r="K139" s="108"/>
      <c r="L139" s="108"/>
      <c r="R139" s="184"/>
      <c r="S139" s="247"/>
      <c r="T139" s="247"/>
      <c r="Y139" s="687"/>
    </row>
    <row r="140" spans="1:29" x14ac:dyDescent="0.35">
      <c r="A140" s="108" t="s">
        <v>504</v>
      </c>
      <c r="B140" s="108" t="s">
        <v>931</v>
      </c>
      <c r="C140" s="108"/>
      <c r="D140" s="108"/>
      <c r="E140" s="687"/>
      <c r="F140" s="108"/>
      <c r="G140" s="687"/>
      <c r="H140" s="687"/>
      <c r="I140" s="687"/>
      <c r="J140" s="687"/>
      <c r="K140" s="687"/>
      <c r="L140" s="687"/>
      <c r="M140" s="687"/>
      <c r="N140" s="687"/>
      <c r="O140" s="687"/>
      <c r="P140" s="687"/>
      <c r="Q140" s="687"/>
      <c r="R140" s="687"/>
      <c r="S140" s="687"/>
      <c r="T140" s="687"/>
      <c r="U140" s="687"/>
      <c r="V140" s="687"/>
      <c r="W140" s="687"/>
      <c r="X140" s="687"/>
      <c r="Y140" s="687"/>
      <c r="Z140" s="687"/>
      <c r="AA140" s="687"/>
      <c r="AB140" s="687"/>
      <c r="AC140" s="687"/>
    </row>
    <row r="141" spans="1:29" s="687" customFormat="1" x14ac:dyDescent="0.35">
      <c r="A141" s="108" t="s">
        <v>504</v>
      </c>
      <c r="B141" s="108" t="s">
        <v>932</v>
      </c>
      <c r="C141" s="108"/>
      <c r="D141" s="108"/>
      <c r="F141" s="108"/>
    </row>
    <row r="142" spans="1:29" s="514" customFormat="1" x14ac:dyDescent="0.35">
      <c r="A142" s="108" t="s">
        <v>504</v>
      </c>
      <c r="B142" s="108"/>
      <c r="C142" s="108"/>
      <c r="D142" s="108"/>
      <c r="E142" s="108"/>
      <c r="F142" s="687"/>
      <c r="G142" s="687"/>
      <c r="H142" s="687"/>
      <c r="I142" s="687"/>
      <c r="J142" s="687"/>
      <c r="K142" s="687"/>
      <c r="L142" s="687"/>
      <c r="M142" s="687"/>
      <c r="N142" s="687"/>
      <c r="O142" s="457"/>
      <c r="P142" s="457"/>
      <c r="Q142" s="457"/>
      <c r="R142" s="457"/>
      <c r="S142" s="457"/>
      <c r="T142" s="457"/>
      <c r="U142" s="457"/>
      <c r="V142" s="457"/>
      <c r="W142" s="457"/>
      <c r="X142" s="457"/>
      <c r="Y142" s="687"/>
      <c r="Z142" s="687"/>
      <c r="AA142" s="687"/>
      <c r="AB142" s="687"/>
      <c r="AC142" s="687"/>
    </row>
    <row r="143" spans="1:29" x14ac:dyDescent="0.35">
      <c r="A143" s="688" t="s">
        <v>933</v>
      </c>
      <c r="B143" s="696"/>
      <c r="C143" s="687"/>
      <c r="D143" s="687"/>
      <c r="E143" s="687"/>
      <c r="F143" s="687"/>
      <c r="G143" s="687"/>
      <c r="H143" s="687"/>
      <c r="I143" s="687"/>
      <c r="J143" s="687"/>
      <c r="K143" s="687"/>
      <c r="L143" s="687"/>
      <c r="M143" s="687"/>
      <c r="N143" s="687"/>
      <c r="O143" s="687"/>
      <c r="P143" s="687"/>
      <c r="Q143" s="687"/>
      <c r="R143" s="687"/>
      <c r="S143" s="687"/>
      <c r="T143" s="687"/>
      <c r="U143" s="687"/>
      <c r="V143" s="687"/>
      <c r="W143" s="687"/>
      <c r="X143" s="687"/>
      <c r="Y143" s="687"/>
      <c r="Z143" s="687"/>
      <c r="AA143" s="687"/>
      <c r="AB143" s="687"/>
      <c r="AC143" s="687"/>
    </row>
    <row r="144" spans="1:29" x14ac:dyDescent="0.35">
      <c r="B144" s="687" t="s">
        <v>934</v>
      </c>
      <c r="C144" s="687"/>
      <c r="D144" s="687"/>
      <c r="E144" s="687"/>
      <c r="F144" s="687"/>
      <c r="G144" s="687"/>
      <c r="H144" s="687"/>
      <c r="I144" s="687"/>
      <c r="J144" s="687"/>
      <c r="K144" s="687"/>
      <c r="L144" s="687"/>
      <c r="M144" s="687"/>
      <c r="N144" s="687"/>
      <c r="O144" s="687"/>
      <c r="P144" s="687"/>
      <c r="Q144" s="687"/>
      <c r="R144" s="687"/>
      <c r="S144" s="687"/>
      <c r="T144" s="687"/>
      <c r="U144" s="687"/>
      <c r="V144" s="687"/>
      <c r="W144" s="687"/>
      <c r="X144" s="687"/>
      <c r="Y144" s="687"/>
      <c r="Z144" s="687"/>
      <c r="AA144" s="687"/>
      <c r="AB144" s="687"/>
      <c r="AC144" s="687"/>
    </row>
    <row r="145" spans="1:29" x14ac:dyDescent="0.35">
      <c r="B145" s="687"/>
      <c r="C145" s="687"/>
      <c r="D145" s="687"/>
      <c r="E145" s="687"/>
      <c r="F145" s="687"/>
      <c r="G145" s="687"/>
      <c r="H145" s="687"/>
      <c r="I145" s="687"/>
      <c r="J145" s="687"/>
      <c r="K145" s="687"/>
      <c r="L145" s="687"/>
      <c r="M145" s="687"/>
      <c r="N145" s="687"/>
      <c r="O145" s="687"/>
      <c r="P145" s="687"/>
      <c r="Q145" s="687"/>
      <c r="R145" s="687"/>
      <c r="S145" s="687"/>
      <c r="T145" s="687"/>
      <c r="U145" s="687"/>
      <c r="V145" s="687"/>
      <c r="W145" s="687"/>
      <c r="X145" s="687"/>
      <c r="Y145" s="687"/>
      <c r="Z145" s="687"/>
      <c r="AA145" s="687"/>
      <c r="AB145" s="687"/>
      <c r="AC145" s="687"/>
    </row>
    <row r="147" spans="1:29" ht="15" customHeight="1" thickBot="1" x14ac:dyDescent="0.4">
      <c r="A147" s="1678"/>
      <c r="B147" s="1678"/>
      <c r="C147" s="1678"/>
      <c r="D147" s="1678"/>
      <c r="E147" s="1678"/>
      <c r="F147" s="1678"/>
      <c r="G147" s="1678"/>
      <c r="H147" s="1678"/>
      <c r="I147" s="1678"/>
      <c r="J147" s="1679" t="s">
        <v>72</v>
      </c>
      <c r="K147" s="1680"/>
      <c r="L147" s="1680"/>
      <c r="M147" s="1680"/>
      <c r="N147" s="1680"/>
      <c r="O147" s="1680"/>
      <c r="P147" s="1681"/>
      <c r="Q147" s="687"/>
      <c r="R147" s="687"/>
      <c r="S147" s="687"/>
      <c r="T147" s="687"/>
      <c r="U147" s="687"/>
      <c r="V147" s="687"/>
      <c r="W147" s="687"/>
      <c r="X147" s="687"/>
      <c r="Y147" s="687"/>
      <c r="Z147" s="687"/>
      <c r="AA147" s="687"/>
      <c r="AB147" s="687"/>
      <c r="AC147" s="687"/>
    </row>
    <row r="148" spans="1:29" ht="15" thickTop="1" x14ac:dyDescent="0.35">
      <c r="A148" s="87"/>
      <c r="B148" s="87"/>
      <c r="C148" s="87"/>
      <c r="D148" s="87"/>
      <c r="E148" s="87"/>
      <c r="F148" s="87"/>
      <c r="G148" s="87"/>
      <c r="H148" s="87"/>
      <c r="I148" s="87"/>
      <c r="J148" s="87"/>
      <c r="K148" s="457"/>
      <c r="L148" s="457"/>
      <c r="M148" s="457"/>
      <c r="N148" s="457"/>
      <c r="O148" s="457"/>
      <c r="P148" s="457"/>
      <c r="Q148" s="687"/>
      <c r="R148" s="687"/>
      <c r="S148" s="687"/>
      <c r="T148" s="687"/>
      <c r="U148" s="687"/>
      <c r="V148" s="687"/>
      <c r="W148" s="687"/>
      <c r="X148" s="687"/>
      <c r="Y148" s="687"/>
      <c r="Z148" s="687"/>
      <c r="AA148" s="687"/>
      <c r="AB148" s="687"/>
      <c r="AC148" s="687"/>
    </row>
  </sheetData>
  <mergeCells count="25">
    <mergeCell ref="A1:J1"/>
    <mergeCell ref="B130:C130"/>
    <mergeCell ref="B57:C57"/>
    <mergeCell ref="B8:C8"/>
    <mergeCell ref="B121:C121"/>
    <mergeCell ref="B19:C19"/>
    <mergeCell ref="B70:C70"/>
    <mergeCell ref="B41:C41"/>
    <mergeCell ref="B96:C96"/>
    <mergeCell ref="B30:C30"/>
    <mergeCell ref="B52:C52"/>
    <mergeCell ref="B109:C109"/>
    <mergeCell ref="B83:C83"/>
    <mergeCell ref="H8:I8"/>
    <mergeCell ref="H19:I19"/>
    <mergeCell ref="H30:I30"/>
    <mergeCell ref="F4:J5"/>
    <mergeCell ref="H41:I41"/>
    <mergeCell ref="H52:I52"/>
    <mergeCell ref="H121:I121"/>
    <mergeCell ref="H57:I57"/>
    <mergeCell ref="H70:I70"/>
    <mergeCell ref="H83:I83"/>
    <mergeCell ref="H96:I96"/>
    <mergeCell ref="H109:I109"/>
  </mergeCells>
  <hyperlinks>
    <hyperlink ref="B4" location="'Glossary-FAQs'!A1" display="Glossary/FAQ" xr:uid="{2E1840A2-E8F7-4B6D-9780-8786414AAAD0}"/>
    <hyperlink ref="C3" location="'Welcome'!C15" display="  = Data entry needed. See color legend on Welcome tab for more info.  " xr:uid="{D95FEF52-4CA8-4072-AF3A-12C3DABAAF1D}"/>
  </hyperlinks>
  <pageMargins left="0.75" right="0.7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P112"/>
  <sheetViews>
    <sheetView zoomScaleNormal="100" workbookViewId="0">
      <selection activeCell="A2" sqref="A2"/>
    </sheetView>
  </sheetViews>
  <sheetFormatPr defaultColWidth="9.1796875" defaultRowHeight="14.5" x14ac:dyDescent="0.35"/>
  <cols>
    <col min="1" max="1" width="5" style="687" customWidth="1"/>
    <col min="2" max="2" width="17.26953125" style="687" customWidth="1"/>
    <col min="3" max="3" width="62.7265625" style="687" customWidth="1"/>
    <col min="4" max="4" width="9.1796875" style="687"/>
    <col min="5" max="5" width="17.26953125" style="687" customWidth="1"/>
    <col min="6" max="6" width="62.7265625" style="687" customWidth="1"/>
    <col min="7" max="8" width="13.81640625" style="687" customWidth="1"/>
    <col min="9" max="16384" width="9.1796875" style="687"/>
  </cols>
  <sheetData>
    <row r="1" spans="1:13" ht="21.5" thickBot="1" x14ac:dyDescent="0.55000000000000004">
      <c r="A1" s="1925" t="s">
        <v>935</v>
      </c>
      <c r="B1" s="1926"/>
      <c r="C1" s="1926"/>
      <c r="D1" s="1926"/>
      <c r="E1" s="1926"/>
      <c r="F1" s="1927"/>
    </row>
    <row r="2" spans="1:13" x14ac:dyDescent="0.35">
      <c r="B2" s="533"/>
      <c r="C2" s="533"/>
      <c r="D2" s="533"/>
      <c r="E2" s="533"/>
      <c r="F2" s="533"/>
      <c r="G2" s="533"/>
      <c r="H2" s="533"/>
    </row>
    <row r="3" spans="1:13" s="5" customFormat="1" ht="15" customHeight="1" x14ac:dyDescent="0.35">
      <c r="B3" s="1558" t="s">
        <v>265</v>
      </c>
      <c r="C3" s="1617" t="s">
        <v>432</v>
      </c>
      <c r="D3" s="513"/>
      <c r="E3" s="1550" t="s">
        <v>264</v>
      </c>
      <c r="F3" s="513"/>
      <c r="G3" s="513"/>
      <c r="H3" s="513"/>
      <c r="I3" s="687"/>
      <c r="J3" s="687"/>
      <c r="K3" s="687"/>
      <c r="L3" s="687"/>
      <c r="M3" s="146"/>
    </row>
    <row r="4" spans="1:13" x14ac:dyDescent="0.35">
      <c r="B4" s="1667" t="s">
        <v>268</v>
      </c>
      <c r="C4" s="44"/>
      <c r="E4" s="1253" t="s">
        <v>936</v>
      </c>
    </row>
    <row r="5" spans="1:13" ht="15" thickBot="1" x14ac:dyDescent="0.4">
      <c r="C5" s="722"/>
    </row>
    <row r="6" spans="1:13" ht="15" thickBot="1" x14ac:dyDescent="0.4">
      <c r="B6" s="1841" t="str">
        <f>(brew1_abb&amp;" Packaging - Fiberboard")</f>
        <v>MAIN Packaging - Fiberboard</v>
      </c>
      <c r="C6" s="1843"/>
      <c r="E6" s="1841" t="str">
        <f>(brew2_abb&amp;" Packaging - Fiberboard")</f>
        <v>2ND Packaging - Fiberboard</v>
      </c>
      <c r="F6" s="1843"/>
    </row>
    <row r="7" spans="1:13" x14ac:dyDescent="0.35">
      <c r="B7" s="737">
        <v>2000000</v>
      </c>
      <c r="C7" s="674" t="s">
        <v>937</v>
      </c>
      <c r="E7" s="737">
        <v>1500000</v>
      </c>
      <c r="F7" s="674" t="s">
        <v>937</v>
      </c>
    </row>
    <row r="8" spans="1:13" x14ac:dyDescent="0.35">
      <c r="B8" s="737">
        <v>0</v>
      </c>
      <c r="C8" s="674" t="s">
        <v>938</v>
      </c>
      <c r="E8" s="737">
        <v>10000</v>
      </c>
      <c r="F8" s="674" t="s">
        <v>938</v>
      </c>
    </row>
    <row r="9" spans="1:13" x14ac:dyDescent="0.35">
      <c r="B9" s="737">
        <v>3000000</v>
      </c>
      <c r="C9" s="674" t="s">
        <v>939</v>
      </c>
      <c r="E9" s="737">
        <v>1000000</v>
      </c>
      <c r="F9" s="674" t="s">
        <v>939</v>
      </c>
    </row>
    <row r="10" spans="1:13" x14ac:dyDescent="0.35">
      <c r="B10" s="737">
        <v>50000</v>
      </c>
      <c r="C10" s="674" t="s">
        <v>940</v>
      </c>
      <c r="E10" s="737">
        <v>20000</v>
      </c>
      <c r="F10" s="674" t="s">
        <v>940</v>
      </c>
    </row>
    <row r="11" spans="1:13" x14ac:dyDescent="0.35">
      <c r="B11" s="1179">
        <v>10000</v>
      </c>
      <c r="C11" s="1180" t="s">
        <v>941</v>
      </c>
      <c r="E11" s="1179">
        <v>10000</v>
      </c>
      <c r="F11" s="1180" t="s">
        <v>941</v>
      </c>
    </row>
    <row r="12" spans="1:13" x14ac:dyDescent="0.35">
      <c r="B12" s="740">
        <f>'Brewery-Control Data'!C68</f>
        <v>90.71848</v>
      </c>
      <c r="C12" s="674" t="s">
        <v>942</v>
      </c>
      <c r="E12" s="740">
        <f>'Brewery-Control Data'!C68</f>
        <v>90.71848</v>
      </c>
      <c r="F12" s="674" t="s">
        <v>942</v>
      </c>
    </row>
    <row r="13" spans="1:13" x14ac:dyDescent="0.35">
      <c r="B13" s="740">
        <f>'Brewery-Control Data'!C69</f>
        <v>60</v>
      </c>
      <c r="C13" s="674" t="s">
        <v>943</v>
      </c>
      <c r="E13" s="740">
        <f>'Brewery-Control Data'!C69</f>
        <v>60</v>
      </c>
      <c r="F13" s="674" t="s">
        <v>943</v>
      </c>
    </row>
    <row r="14" spans="1:13" x14ac:dyDescent="0.35">
      <c r="B14" s="740">
        <f>'Brewery-Control Data'!C74</f>
        <v>45.35924</v>
      </c>
      <c r="C14" s="674" t="s">
        <v>944</v>
      </c>
      <c r="E14" s="740">
        <f>'Brewery-Control Data'!C74</f>
        <v>45.35924</v>
      </c>
      <c r="F14" s="674" t="s">
        <v>944</v>
      </c>
    </row>
    <row r="15" spans="1:13" x14ac:dyDescent="0.35">
      <c r="B15" s="740">
        <f>'Brewery-Control Data'!C75</f>
        <v>113.3981</v>
      </c>
      <c r="C15" s="674" t="s">
        <v>945</v>
      </c>
      <c r="E15" s="740">
        <f>'Brewery-Control Data'!C75</f>
        <v>113.3981</v>
      </c>
      <c r="F15" s="674" t="s">
        <v>945</v>
      </c>
    </row>
    <row r="16" spans="1:13" x14ac:dyDescent="0.35">
      <c r="B16" s="1181">
        <f>'Brewery-Control Data'!C79</f>
        <v>226.7962</v>
      </c>
      <c r="C16" s="1180" t="s">
        <v>946</v>
      </c>
      <c r="E16" s="1181">
        <f>'Brewery-Control Data'!C79</f>
        <v>226.7962</v>
      </c>
      <c r="F16" s="1180" t="s">
        <v>946</v>
      </c>
    </row>
    <row r="17" spans="2:6" x14ac:dyDescent="0.35">
      <c r="B17" s="738">
        <f>B7*B12</f>
        <v>181436960</v>
      </c>
      <c r="C17" s="674" t="s">
        <v>947</v>
      </c>
      <c r="E17" s="738">
        <f>E7*E12</f>
        <v>136077720</v>
      </c>
      <c r="F17" s="674" t="s">
        <v>947</v>
      </c>
    </row>
    <row r="18" spans="2:6" x14ac:dyDescent="0.35">
      <c r="B18" s="738">
        <f>B8*B13</f>
        <v>0</v>
      </c>
      <c r="C18" s="674" t="s">
        <v>948</v>
      </c>
      <c r="E18" s="738">
        <f>E8*E13</f>
        <v>600000</v>
      </c>
      <c r="F18" s="674" t="s">
        <v>948</v>
      </c>
    </row>
    <row r="19" spans="2:6" x14ac:dyDescent="0.35">
      <c r="B19" s="738">
        <f>B9*B14</f>
        <v>136077720</v>
      </c>
      <c r="C19" s="674" t="s">
        <v>949</v>
      </c>
      <c r="E19" s="738">
        <f>E9*E14</f>
        <v>45359240</v>
      </c>
      <c r="F19" s="674" t="s">
        <v>949</v>
      </c>
    </row>
    <row r="20" spans="2:6" x14ac:dyDescent="0.35">
      <c r="B20" s="738">
        <f>B10*B15</f>
        <v>5669905</v>
      </c>
      <c r="C20" s="674" t="s">
        <v>950</v>
      </c>
      <c r="E20" s="738">
        <f>E10*E15</f>
        <v>2267962</v>
      </c>
      <c r="F20" s="674" t="s">
        <v>950</v>
      </c>
    </row>
    <row r="21" spans="2:6" x14ac:dyDescent="0.35">
      <c r="B21" s="1182">
        <f>B11*B16</f>
        <v>2267962</v>
      </c>
      <c r="C21" s="1180" t="s">
        <v>951</v>
      </c>
      <c r="E21" s="1182">
        <f>E11*E16</f>
        <v>2267962</v>
      </c>
      <c r="F21" s="1180" t="s">
        <v>951</v>
      </c>
    </row>
    <row r="22" spans="2:6" x14ac:dyDescent="0.35">
      <c r="B22" s="1633">
        <v>0.26</v>
      </c>
      <c r="C22" s="1180" t="s">
        <v>952</v>
      </c>
      <c r="E22" s="1633">
        <v>0.26</v>
      </c>
      <c r="F22" s="1180" t="s">
        <v>952</v>
      </c>
    </row>
    <row r="23" spans="2:6" x14ac:dyDescent="0.35">
      <c r="B23" s="738">
        <f>B17*$B$22</f>
        <v>47173609.600000001</v>
      </c>
      <c r="C23" s="674" t="s">
        <v>953</v>
      </c>
      <c r="E23" s="738">
        <f>E17*$B$22</f>
        <v>35380207.200000003</v>
      </c>
      <c r="F23" s="674" t="s">
        <v>953</v>
      </c>
    </row>
    <row r="24" spans="2:6" x14ac:dyDescent="0.35">
      <c r="B24" s="738">
        <f>B18*$B$22</f>
        <v>0</v>
      </c>
      <c r="C24" s="674" t="s">
        <v>954</v>
      </c>
      <c r="E24" s="738">
        <f>E18*$B$22</f>
        <v>156000</v>
      </c>
      <c r="F24" s="674" t="s">
        <v>954</v>
      </c>
    </row>
    <row r="25" spans="2:6" x14ac:dyDescent="0.35">
      <c r="B25" s="738">
        <f>B19*$B$22</f>
        <v>35380207.200000003</v>
      </c>
      <c r="C25" s="674" t="s">
        <v>955</v>
      </c>
      <c r="E25" s="738">
        <f>E19*$B$22</f>
        <v>11793402.4</v>
      </c>
      <c r="F25" s="674" t="s">
        <v>955</v>
      </c>
    </row>
    <row r="26" spans="2:6" x14ac:dyDescent="0.35">
      <c r="B26" s="738">
        <f>B20*$B$22</f>
        <v>1474175.3</v>
      </c>
      <c r="C26" s="674" t="s">
        <v>956</v>
      </c>
      <c r="E26" s="738">
        <f>E20*$B$22</f>
        <v>589670.12</v>
      </c>
      <c r="F26" s="674" t="s">
        <v>956</v>
      </c>
    </row>
    <row r="27" spans="2:6" x14ac:dyDescent="0.35">
      <c r="B27" s="1182">
        <f>B21*$B$22</f>
        <v>589670.12</v>
      </c>
      <c r="C27" s="1180" t="s">
        <v>957</v>
      </c>
      <c r="E27" s="1182">
        <f>E21*$B$22</f>
        <v>589670.12</v>
      </c>
      <c r="F27" s="1180" t="s">
        <v>957</v>
      </c>
    </row>
    <row r="28" spans="2:6" x14ac:dyDescent="0.35">
      <c r="B28" s="738">
        <f>B23/1000</f>
        <v>47173.609600000003</v>
      </c>
      <c r="C28" s="674" t="s">
        <v>958</v>
      </c>
      <c r="E28" s="738">
        <f>E23/1000</f>
        <v>35380.207200000004</v>
      </c>
      <c r="F28" s="674" t="s">
        <v>958</v>
      </c>
    </row>
    <row r="29" spans="2:6" x14ac:dyDescent="0.35">
      <c r="B29" s="738">
        <f>B24/1000</f>
        <v>0</v>
      </c>
      <c r="C29" s="674" t="s">
        <v>959</v>
      </c>
      <c r="E29" s="738">
        <f>E24/1000</f>
        <v>156</v>
      </c>
      <c r="F29" s="674" t="s">
        <v>959</v>
      </c>
    </row>
    <row r="30" spans="2:6" x14ac:dyDescent="0.35">
      <c r="B30" s="738">
        <f>B25/1000</f>
        <v>35380.207200000004</v>
      </c>
      <c r="C30" s="674" t="s">
        <v>960</v>
      </c>
      <c r="E30" s="738">
        <f>E25/1000</f>
        <v>11793.402400000001</v>
      </c>
      <c r="F30" s="674" t="s">
        <v>960</v>
      </c>
    </row>
    <row r="31" spans="2:6" x14ac:dyDescent="0.35">
      <c r="B31" s="738">
        <f>B26/1000</f>
        <v>1474.1753000000001</v>
      </c>
      <c r="C31" s="674" t="s">
        <v>961</v>
      </c>
      <c r="E31" s="738">
        <f>E26/1000</f>
        <v>589.67012</v>
      </c>
      <c r="F31" s="674" t="s">
        <v>961</v>
      </c>
    </row>
    <row r="32" spans="2:6" x14ac:dyDescent="0.35">
      <c r="B32" s="738">
        <f>B27/1000</f>
        <v>589.67012</v>
      </c>
      <c r="C32" s="674" t="s">
        <v>962</v>
      </c>
      <c r="E32" s="738">
        <f>E27/1000</f>
        <v>589.67012</v>
      </c>
      <c r="F32" s="674" t="s">
        <v>962</v>
      </c>
    </row>
    <row r="33" spans="2:6" ht="15" thickBot="1" x14ac:dyDescent="0.4">
      <c r="B33" s="1407">
        <f>SUM(B17:B21)/1000</f>
        <v>325452.54700000002</v>
      </c>
      <c r="C33" s="1408" t="s">
        <v>963</v>
      </c>
      <c r="E33" s="1407">
        <f>SUM(E17:E21)/1000</f>
        <v>186572.88399999999</v>
      </c>
      <c r="F33" s="1408" t="s">
        <v>963</v>
      </c>
    </row>
    <row r="34" spans="2:6" ht="15" thickBot="1" x14ac:dyDescent="0.4">
      <c r="B34" s="553">
        <f>SUM(B28:B32)</f>
        <v>84617.662219999998</v>
      </c>
      <c r="C34" s="507" t="s">
        <v>964</v>
      </c>
      <c r="E34" s="553">
        <f>SUM(E28:E32)</f>
        <v>48508.949840000008</v>
      </c>
      <c r="F34" s="507" t="s">
        <v>964</v>
      </c>
    </row>
    <row r="35" spans="2:6" ht="15" thickBot="1" x14ac:dyDescent="0.4">
      <c r="B35" s="551">
        <f>'Brewery-Control Data'!$B$10</f>
        <v>123215.153565</v>
      </c>
      <c r="C35" s="348" t="s">
        <v>871</v>
      </c>
      <c r="E35" s="551">
        <f>'Brewery-Control Data'!$E$10</f>
        <v>88010.823974999992</v>
      </c>
      <c r="F35" s="348" t="s">
        <v>871</v>
      </c>
    </row>
    <row r="36" spans="2:6" ht="15" thickBot="1" x14ac:dyDescent="0.4">
      <c r="B36" s="506">
        <f>B34/B35</f>
        <v>0.68674720415262425</v>
      </c>
      <c r="C36" s="685" t="s">
        <v>965</v>
      </c>
      <c r="E36" s="506">
        <f>E34/E35</f>
        <v>0.55117027257669204</v>
      </c>
      <c r="F36" s="685" t="s">
        <v>965</v>
      </c>
    </row>
    <row r="37" spans="2:6" x14ac:dyDescent="0.35">
      <c r="B37" s="550"/>
      <c r="C37" s="620"/>
      <c r="E37" s="550"/>
      <c r="F37" s="620"/>
    </row>
    <row r="38" spans="2:6" ht="15" thickBot="1" x14ac:dyDescent="0.4">
      <c r="B38" s="1937" t="str">
        <f>(brew1_abb&amp;" Packaging - Corrugated")</f>
        <v>MAIN Packaging - Corrugated</v>
      </c>
      <c r="C38" s="1941"/>
      <c r="E38" s="1937" t="str">
        <f>(brew2_abb&amp;" Packaging - Corrugated")</f>
        <v>2ND Packaging - Corrugated</v>
      </c>
      <c r="F38" s="1941"/>
    </row>
    <row r="39" spans="2:6" x14ac:dyDescent="0.35">
      <c r="B39" s="737">
        <v>400000</v>
      </c>
      <c r="C39" s="674" t="s">
        <v>966</v>
      </c>
      <c r="E39" s="737">
        <v>350000</v>
      </c>
      <c r="F39" s="674" t="s">
        <v>966</v>
      </c>
    </row>
    <row r="40" spans="2:6" x14ac:dyDescent="0.35">
      <c r="B40" s="737">
        <v>10000</v>
      </c>
      <c r="C40" s="674" t="s">
        <v>967</v>
      </c>
      <c r="E40" s="737">
        <v>5000</v>
      </c>
      <c r="F40" s="674" t="s">
        <v>967</v>
      </c>
    </row>
    <row r="41" spans="2:6" x14ac:dyDescent="0.35">
      <c r="B41" s="737">
        <v>15000</v>
      </c>
      <c r="C41" s="674" t="s">
        <v>968</v>
      </c>
      <c r="E41" s="737">
        <v>10000</v>
      </c>
      <c r="F41" s="674" t="s">
        <v>968</v>
      </c>
    </row>
    <row r="42" spans="2:6" x14ac:dyDescent="0.35">
      <c r="B42" s="737">
        <v>15000</v>
      </c>
      <c r="C42" s="674" t="s">
        <v>969</v>
      </c>
      <c r="E42" s="737">
        <v>10000</v>
      </c>
      <c r="F42" s="674" t="s">
        <v>969</v>
      </c>
    </row>
    <row r="43" spans="2:6" x14ac:dyDescent="0.35">
      <c r="B43" s="737">
        <v>800000</v>
      </c>
      <c r="C43" s="674" t="s">
        <v>970</v>
      </c>
      <c r="E43" s="737">
        <v>400000</v>
      </c>
      <c r="F43" s="674" t="s">
        <v>970</v>
      </c>
    </row>
    <row r="44" spans="2:6" x14ac:dyDescent="0.35">
      <c r="B44" s="737">
        <v>0</v>
      </c>
      <c r="C44" s="1267" t="s">
        <v>971</v>
      </c>
      <c r="E44" s="737">
        <v>0</v>
      </c>
      <c r="F44" s="1267" t="s">
        <v>971</v>
      </c>
    </row>
    <row r="45" spans="2:6" x14ac:dyDescent="0.35">
      <c r="B45" s="737">
        <v>0</v>
      </c>
      <c r="C45" s="1267" t="s">
        <v>972</v>
      </c>
      <c r="E45" s="737">
        <v>0</v>
      </c>
      <c r="F45" s="1267" t="s">
        <v>972</v>
      </c>
    </row>
    <row r="46" spans="2:6" x14ac:dyDescent="0.35">
      <c r="B46" s="1179">
        <v>0</v>
      </c>
      <c r="C46" s="1268" t="s">
        <v>973</v>
      </c>
      <c r="E46" s="1179">
        <v>0</v>
      </c>
      <c r="F46" s="1268" t="s">
        <v>973</v>
      </c>
    </row>
    <row r="47" spans="2:6" x14ac:dyDescent="0.35">
      <c r="B47" s="740">
        <f>'Brewery-Control Data'!$C$67</f>
        <v>294.83506</v>
      </c>
      <c r="C47" s="674" t="s">
        <v>974</v>
      </c>
      <c r="E47" s="740">
        <f>'Brewery-Control Data'!$C$67</f>
        <v>294.83506</v>
      </c>
      <c r="F47" s="674" t="s">
        <v>974</v>
      </c>
    </row>
    <row r="48" spans="2:6" x14ac:dyDescent="0.35">
      <c r="B48" s="740">
        <f>'Brewery-Control Data'!$C$71</f>
        <v>226.7962</v>
      </c>
      <c r="C48" s="674" t="s">
        <v>975</v>
      </c>
      <c r="E48" s="740">
        <f>'Brewery-Control Data'!$C$71</f>
        <v>226.7962</v>
      </c>
      <c r="F48" s="674" t="s">
        <v>975</v>
      </c>
    </row>
    <row r="49" spans="2:6" x14ac:dyDescent="0.35">
      <c r="B49" s="740">
        <f>'Brewery-Control Data'!$C$72</f>
        <v>249.47582000000003</v>
      </c>
      <c r="C49" s="674" t="s">
        <v>976</v>
      </c>
      <c r="E49" s="740">
        <f>'Brewery-Control Data'!$C$72</f>
        <v>249.47582000000003</v>
      </c>
      <c r="F49" s="674" t="s">
        <v>976</v>
      </c>
    </row>
    <row r="50" spans="2:6" x14ac:dyDescent="0.35">
      <c r="B50" s="740">
        <f>'Brewery-Control Data'!$C$73</f>
        <v>90.71848</v>
      </c>
      <c r="C50" s="674" t="s">
        <v>977</v>
      </c>
      <c r="E50" s="740">
        <f>'Brewery-Control Data'!$C$73</f>
        <v>90.71848</v>
      </c>
      <c r="F50" s="674" t="s">
        <v>977</v>
      </c>
    </row>
    <row r="51" spans="2:6" x14ac:dyDescent="0.35">
      <c r="B51" s="740">
        <f>'Brewery-Control Data'!$C$73</f>
        <v>90.71848</v>
      </c>
      <c r="C51" s="674" t="s">
        <v>978</v>
      </c>
      <c r="E51" s="740">
        <f>'Brewery-Control Data'!$C$73</f>
        <v>90.71848</v>
      </c>
      <c r="F51" s="674" t="s">
        <v>978</v>
      </c>
    </row>
    <row r="52" spans="2:6" x14ac:dyDescent="0.35">
      <c r="B52" s="740">
        <f>'Brewery-Control Data'!$C$77</f>
        <v>204.11658</v>
      </c>
      <c r="C52" s="674" t="s">
        <v>979</v>
      </c>
      <c r="E52" s="740">
        <f>'Brewery-Control Data'!$C$77</f>
        <v>204.11658</v>
      </c>
      <c r="F52" s="674" t="s">
        <v>979</v>
      </c>
    </row>
    <row r="53" spans="2:6" x14ac:dyDescent="0.35">
      <c r="B53" s="740">
        <f>'Brewery-Control Data'!$C$78</f>
        <v>204.11658</v>
      </c>
      <c r="C53" s="674" t="s">
        <v>980</v>
      </c>
      <c r="E53" s="740">
        <f>'Brewery-Control Data'!$C$78</f>
        <v>204.11658</v>
      </c>
      <c r="F53" s="674" t="s">
        <v>980</v>
      </c>
    </row>
    <row r="54" spans="2:6" x14ac:dyDescent="0.35">
      <c r="B54" s="1181">
        <f>'Brewery-Control Data'!$C$80</f>
        <v>231.66</v>
      </c>
      <c r="C54" s="1180" t="s">
        <v>981</v>
      </c>
      <c r="E54" s="1181">
        <f>'Brewery-Control Data'!$C$80</f>
        <v>231.66</v>
      </c>
      <c r="F54" s="1180" t="s">
        <v>981</v>
      </c>
    </row>
    <row r="55" spans="2:6" s="87" customFormat="1" x14ac:dyDescent="0.35">
      <c r="B55" s="738">
        <f>B39*B47</f>
        <v>117934024</v>
      </c>
      <c r="C55" s="674" t="s">
        <v>982</v>
      </c>
      <c r="E55" s="738">
        <f>E39*E47</f>
        <v>103192271</v>
      </c>
      <c r="F55" s="674" t="s">
        <v>982</v>
      </c>
    </row>
    <row r="56" spans="2:6" x14ac:dyDescent="0.35">
      <c r="B56" s="738">
        <f t="shared" ref="B56:B62" si="0">B40*B48</f>
        <v>2267962</v>
      </c>
      <c r="C56" s="674" t="s">
        <v>983</v>
      </c>
      <c r="E56" s="738">
        <f t="shared" ref="E56:E62" si="1">E40*E48</f>
        <v>1133981</v>
      </c>
      <c r="F56" s="674" t="s">
        <v>983</v>
      </c>
    </row>
    <row r="57" spans="2:6" x14ac:dyDescent="0.35">
      <c r="B57" s="738">
        <f t="shared" si="0"/>
        <v>3742137.3000000003</v>
      </c>
      <c r="C57" s="674" t="s">
        <v>984</v>
      </c>
      <c r="E57" s="738">
        <f t="shared" si="1"/>
        <v>2494758.2000000002</v>
      </c>
      <c r="F57" s="674" t="s">
        <v>984</v>
      </c>
    </row>
    <row r="58" spans="2:6" x14ac:dyDescent="0.35">
      <c r="B58" s="738">
        <f t="shared" si="0"/>
        <v>1360777.2</v>
      </c>
      <c r="C58" s="674" t="s">
        <v>985</v>
      </c>
      <c r="E58" s="738">
        <f t="shared" si="1"/>
        <v>907184.8</v>
      </c>
      <c r="F58" s="674" t="s">
        <v>985</v>
      </c>
    </row>
    <row r="59" spans="2:6" x14ac:dyDescent="0.35">
      <c r="B59" s="738">
        <f t="shared" si="0"/>
        <v>72574784</v>
      </c>
      <c r="C59" s="674" t="s">
        <v>986</v>
      </c>
      <c r="E59" s="738">
        <f t="shared" si="1"/>
        <v>36287392</v>
      </c>
      <c r="F59" s="674" t="s">
        <v>986</v>
      </c>
    </row>
    <row r="60" spans="2:6" x14ac:dyDescent="0.35">
      <c r="B60" s="738">
        <f t="shared" si="0"/>
        <v>0</v>
      </c>
      <c r="C60" s="674" t="s">
        <v>987</v>
      </c>
      <c r="E60" s="738">
        <f t="shared" si="1"/>
        <v>0</v>
      </c>
      <c r="F60" s="674" t="s">
        <v>987</v>
      </c>
    </row>
    <row r="61" spans="2:6" x14ac:dyDescent="0.35">
      <c r="B61" s="738">
        <f t="shared" si="0"/>
        <v>0</v>
      </c>
      <c r="C61" s="674" t="s">
        <v>988</v>
      </c>
      <c r="E61" s="738">
        <f t="shared" si="1"/>
        <v>0</v>
      </c>
      <c r="F61" s="674" t="s">
        <v>988</v>
      </c>
    </row>
    <row r="62" spans="2:6" x14ac:dyDescent="0.35">
      <c r="B62" s="1182">
        <f t="shared" si="0"/>
        <v>0</v>
      </c>
      <c r="C62" s="1180" t="s">
        <v>989</v>
      </c>
      <c r="E62" s="1182">
        <f t="shared" si="1"/>
        <v>0</v>
      </c>
      <c r="F62" s="1180" t="s">
        <v>989</v>
      </c>
    </row>
    <row r="63" spans="2:6" x14ac:dyDescent="0.35">
      <c r="B63" s="1633">
        <v>1.07</v>
      </c>
      <c r="C63" s="1180" t="s">
        <v>952</v>
      </c>
      <c r="E63" s="1633">
        <v>1.07</v>
      </c>
      <c r="F63" s="1180" t="s">
        <v>952</v>
      </c>
    </row>
    <row r="64" spans="2:6" x14ac:dyDescent="0.35">
      <c r="B64" s="738">
        <f t="shared" ref="B64:B71" si="2">B55*$B$63</f>
        <v>126189405.68000001</v>
      </c>
      <c r="C64" s="674" t="s">
        <v>990</v>
      </c>
      <c r="E64" s="738">
        <f t="shared" ref="E64:E71" si="3">E55*$B$63</f>
        <v>110415729.97000001</v>
      </c>
      <c r="F64" s="674" t="s">
        <v>990</v>
      </c>
    </row>
    <row r="65" spans="2:6" x14ac:dyDescent="0.35">
      <c r="B65" s="738">
        <f t="shared" si="2"/>
        <v>2426719.3400000003</v>
      </c>
      <c r="C65" s="674" t="s">
        <v>991</v>
      </c>
      <c r="E65" s="738">
        <f t="shared" si="3"/>
        <v>1213359.6700000002</v>
      </c>
      <c r="F65" s="674" t="s">
        <v>991</v>
      </c>
    </row>
    <row r="66" spans="2:6" x14ac:dyDescent="0.35">
      <c r="B66" s="738">
        <f t="shared" si="2"/>
        <v>4004086.9110000003</v>
      </c>
      <c r="C66" s="674" t="s">
        <v>992</v>
      </c>
      <c r="E66" s="738">
        <f t="shared" si="3"/>
        <v>2669391.2740000002</v>
      </c>
      <c r="F66" s="674" t="s">
        <v>992</v>
      </c>
    </row>
    <row r="67" spans="2:6" x14ac:dyDescent="0.35">
      <c r="B67" s="738">
        <f t="shared" si="2"/>
        <v>1456031.6040000001</v>
      </c>
      <c r="C67" s="674" t="s">
        <v>993</v>
      </c>
      <c r="E67" s="738">
        <f t="shared" si="3"/>
        <v>970687.73600000015</v>
      </c>
      <c r="F67" s="674" t="s">
        <v>993</v>
      </c>
    </row>
    <row r="68" spans="2:6" x14ac:dyDescent="0.35">
      <c r="B68" s="738">
        <f t="shared" si="2"/>
        <v>77655018.88000001</v>
      </c>
      <c r="C68" s="674" t="s">
        <v>994</v>
      </c>
      <c r="E68" s="738">
        <f t="shared" si="3"/>
        <v>38827509.440000005</v>
      </c>
      <c r="F68" s="674" t="s">
        <v>994</v>
      </c>
    </row>
    <row r="69" spans="2:6" x14ac:dyDescent="0.35">
      <c r="B69" s="738">
        <f t="shared" si="2"/>
        <v>0</v>
      </c>
      <c r="C69" s="674" t="s">
        <v>995</v>
      </c>
      <c r="E69" s="738">
        <f t="shared" si="3"/>
        <v>0</v>
      </c>
      <c r="F69" s="674" t="s">
        <v>995</v>
      </c>
    </row>
    <row r="70" spans="2:6" x14ac:dyDescent="0.35">
      <c r="B70" s="738">
        <f t="shared" si="2"/>
        <v>0</v>
      </c>
      <c r="C70" s="674" t="s">
        <v>996</v>
      </c>
      <c r="E70" s="738">
        <f t="shared" si="3"/>
        <v>0</v>
      </c>
      <c r="F70" s="674" t="s">
        <v>996</v>
      </c>
    </row>
    <row r="71" spans="2:6" x14ac:dyDescent="0.35">
      <c r="B71" s="1182">
        <f t="shared" si="2"/>
        <v>0</v>
      </c>
      <c r="C71" s="1180" t="s">
        <v>997</v>
      </c>
      <c r="E71" s="1182">
        <f t="shared" si="3"/>
        <v>0</v>
      </c>
      <c r="F71" s="1180" t="s">
        <v>997</v>
      </c>
    </row>
    <row r="72" spans="2:6" x14ac:dyDescent="0.35">
      <c r="B72" s="738">
        <f>B64/1000</f>
        <v>126189.40568000001</v>
      </c>
      <c r="C72" s="674" t="s">
        <v>998</v>
      </c>
      <c r="E72" s="738">
        <f>E64/1000</f>
        <v>110415.72997000001</v>
      </c>
      <c r="F72" s="674" t="s">
        <v>998</v>
      </c>
    </row>
    <row r="73" spans="2:6" x14ac:dyDescent="0.35">
      <c r="B73" s="738">
        <f t="shared" ref="B73:B77" si="4">B65/1000</f>
        <v>2426.7193400000001</v>
      </c>
      <c r="C73" s="674" t="s">
        <v>999</v>
      </c>
      <c r="E73" s="738">
        <f t="shared" ref="E73:E79" si="5">E65/1000</f>
        <v>1213.3596700000001</v>
      </c>
      <c r="F73" s="674" t="s">
        <v>999</v>
      </c>
    </row>
    <row r="74" spans="2:6" x14ac:dyDescent="0.35">
      <c r="B74" s="738">
        <f t="shared" si="4"/>
        <v>4004.0869110000003</v>
      </c>
      <c r="C74" s="674" t="s">
        <v>1000</v>
      </c>
      <c r="E74" s="738">
        <f t="shared" si="5"/>
        <v>2669.3912740000001</v>
      </c>
      <c r="F74" s="674" t="s">
        <v>1000</v>
      </c>
    </row>
    <row r="75" spans="2:6" x14ac:dyDescent="0.35">
      <c r="B75" s="738">
        <f t="shared" si="4"/>
        <v>1456.031604</v>
      </c>
      <c r="C75" s="674" t="s">
        <v>1001</v>
      </c>
      <c r="E75" s="738">
        <f t="shared" si="5"/>
        <v>970.6877360000002</v>
      </c>
      <c r="F75" s="674" t="s">
        <v>1001</v>
      </c>
    </row>
    <row r="76" spans="2:6" x14ac:dyDescent="0.35">
      <c r="B76" s="738">
        <f t="shared" si="4"/>
        <v>77655.018880000003</v>
      </c>
      <c r="C76" s="674" t="s">
        <v>1002</v>
      </c>
      <c r="E76" s="738">
        <f t="shared" si="5"/>
        <v>38827.509440000002</v>
      </c>
      <c r="F76" s="674" t="s">
        <v>1002</v>
      </c>
    </row>
    <row r="77" spans="2:6" x14ac:dyDescent="0.35">
      <c r="B77" s="738">
        <f t="shared" si="4"/>
        <v>0</v>
      </c>
      <c r="C77" s="674" t="s">
        <v>1003</v>
      </c>
      <c r="E77" s="738">
        <f t="shared" si="5"/>
        <v>0</v>
      </c>
      <c r="F77" s="674" t="s">
        <v>1003</v>
      </c>
    </row>
    <row r="78" spans="2:6" x14ac:dyDescent="0.35">
      <c r="B78" s="738">
        <f>B70/1000</f>
        <v>0</v>
      </c>
      <c r="C78" s="674" t="s">
        <v>1004</v>
      </c>
      <c r="E78" s="738">
        <f t="shared" si="5"/>
        <v>0</v>
      </c>
      <c r="F78" s="674" t="s">
        <v>1004</v>
      </c>
    </row>
    <row r="79" spans="2:6" x14ac:dyDescent="0.35">
      <c r="B79" s="738">
        <f>B71/1000</f>
        <v>0</v>
      </c>
      <c r="C79" s="1180" t="s">
        <v>1005</v>
      </c>
      <c r="E79" s="738">
        <f t="shared" si="5"/>
        <v>0</v>
      </c>
      <c r="F79" s="1180" t="s">
        <v>1005</v>
      </c>
    </row>
    <row r="80" spans="2:6" ht="15" thickBot="1" x14ac:dyDescent="0.4">
      <c r="B80" s="1407">
        <f>SUM(B55:B62)/1000</f>
        <v>197879.6845</v>
      </c>
      <c r="C80" s="1408" t="s">
        <v>1006</v>
      </c>
      <c r="E80" s="1407">
        <f>SUM(E55:E62)/1000</f>
        <v>144015.587</v>
      </c>
      <c r="F80" s="1408" t="s">
        <v>1006</v>
      </c>
    </row>
    <row r="81" spans="1:8" ht="15" thickBot="1" x14ac:dyDescent="0.4">
      <c r="B81" s="553">
        <f>SUM(B72:B79)</f>
        <v>211731.262415</v>
      </c>
      <c r="C81" s="507" t="s">
        <v>1007</v>
      </c>
      <c r="E81" s="553">
        <f>SUM(E72:E79)</f>
        <v>154096.67809000003</v>
      </c>
      <c r="F81" s="507" t="s">
        <v>1007</v>
      </c>
    </row>
    <row r="82" spans="1:8" ht="15" thickBot="1" x14ac:dyDescent="0.4">
      <c r="B82" s="551">
        <f>'Brewery-Control Data'!$B$10</f>
        <v>123215.153565</v>
      </c>
      <c r="C82" s="348" t="s">
        <v>871</v>
      </c>
      <c r="E82" s="551">
        <f>'Brewery-Control Data'!$E$10</f>
        <v>88010.823974999992</v>
      </c>
      <c r="F82" s="348" t="s">
        <v>871</v>
      </c>
    </row>
    <row r="83" spans="1:8" ht="15" thickBot="1" x14ac:dyDescent="0.4">
      <c r="B83" s="506">
        <f>B81/B82</f>
        <v>1.7183865481554172</v>
      </c>
      <c r="C83" s="685" t="s">
        <v>1008</v>
      </c>
      <c r="E83" s="506">
        <f>E81/E82</f>
        <v>1.75088325651595</v>
      </c>
      <c r="F83" s="685" t="s">
        <v>1008</v>
      </c>
    </row>
    <row r="84" spans="1:8" x14ac:dyDescent="0.35">
      <c r="B84" s="550"/>
      <c r="C84" s="620"/>
      <c r="D84" s="87"/>
      <c r="E84" s="550"/>
      <c r="F84" s="620"/>
      <c r="H84" s="87"/>
    </row>
    <row r="85" spans="1:8" ht="15" thickBot="1" x14ac:dyDescent="0.4">
      <c r="B85" s="550"/>
      <c r="C85" s="620"/>
      <c r="D85" s="87"/>
      <c r="E85" s="550"/>
      <c r="F85" s="620"/>
      <c r="H85" s="87"/>
    </row>
    <row r="86" spans="1:8" ht="15" thickBot="1" x14ac:dyDescent="0.4">
      <c r="B86" s="1841" t="s">
        <v>1009</v>
      </c>
      <c r="C86" s="1843"/>
      <c r="E86" s="1841" t="s">
        <v>1009</v>
      </c>
      <c r="F86" s="1843"/>
    </row>
    <row r="87" spans="1:8" ht="15" thickBot="1" x14ac:dyDescent="0.4">
      <c r="B87" s="553">
        <f>B34+B81</f>
        <v>296348.924635</v>
      </c>
      <c r="C87" s="507" t="s">
        <v>1010</v>
      </c>
      <c r="E87" s="553">
        <f>E34+E81</f>
        <v>202605.62793000005</v>
      </c>
      <c r="F87" s="507" t="s">
        <v>1010</v>
      </c>
    </row>
    <row r="88" spans="1:8" ht="15" thickBot="1" x14ac:dyDescent="0.4">
      <c r="B88" s="551">
        <f>'Brewery-Control Data'!$B$10</f>
        <v>123215.153565</v>
      </c>
      <c r="C88" s="348" t="s">
        <v>871</v>
      </c>
      <c r="E88" s="551">
        <f>'Brewery-Control Data'!$E$10</f>
        <v>88010.823974999992</v>
      </c>
      <c r="F88" s="348" t="s">
        <v>871</v>
      </c>
    </row>
    <row r="89" spans="1:8" ht="15" thickBot="1" x14ac:dyDescent="0.4">
      <c r="B89" s="506">
        <f>B87/B88</f>
        <v>2.4051337523080414</v>
      </c>
      <c r="C89" s="685" t="s">
        <v>1011</v>
      </c>
      <c r="E89" s="506">
        <f>E87/E88</f>
        <v>2.302053529092642</v>
      </c>
      <c r="F89" s="685" t="s">
        <v>1011</v>
      </c>
    </row>
    <row r="91" spans="1:8" ht="15" thickBot="1" x14ac:dyDescent="0.4"/>
    <row r="92" spans="1:8" ht="16" thickBot="1" x14ac:dyDescent="0.4">
      <c r="A92" s="842" t="s">
        <v>492</v>
      </c>
      <c r="B92" s="918"/>
      <c r="C92" s="198"/>
    </row>
    <row r="93" spans="1:8" ht="16" thickBot="1" x14ac:dyDescent="0.4">
      <c r="A93" s="900"/>
      <c r="B93" s="921"/>
      <c r="C93" s="198"/>
    </row>
    <row r="94" spans="1:8" ht="15" thickBot="1" x14ac:dyDescent="0.4">
      <c r="B94" s="1841" t="s">
        <v>1012</v>
      </c>
      <c r="C94" s="1843"/>
    </row>
    <row r="95" spans="1:8" ht="15" thickBot="1" x14ac:dyDescent="0.4">
      <c r="B95" s="536">
        <f>B87+E87</f>
        <v>498954.55256500002</v>
      </c>
      <c r="C95" s="537" t="s">
        <v>1013</v>
      </c>
    </row>
    <row r="96" spans="1:8" ht="15" thickBot="1" x14ac:dyDescent="0.4">
      <c r="B96" s="919">
        <f>'Brewery-Control Data'!H10</f>
        <v>211225.97753999999</v>
      </c>
      <c r="C96" s="920" t="s">
        <v>276</v>
      </c>
    </row>
    <row r="97" spans="1:16" ht="15" thickBot="1" x14ac:dyDescent="0.4">
      <c r="B97" s="506">
        <f>B95/B96</f>
        <v>2.3621836593016248</v>
      </c>
      <c r="C97" s="685" t="s">
        <v>1014</v>
      </c>
    </row>
    <row r="100" spans="1:16" ht="15" thickBot="1" x14ac:dyDescent="0.4"/>
    <row r="101" spans="1:16" ht="15" thickBot="1" x14ac:dyDescent="0.4">
      <c r="B101" s="1841" t="s">
        <v>1015</v>
      </c>
      <c r="C101" s="1843"/>
    </row>
    <row r="102" spans="1:16" x14ac:dyDescent="0.35">
      <c r="B102" s="1253" t="s">
        <v>1016</v>
      </c>
    </row>
    <row r="105" spans="1:16" ht="15" thickBot="1" x14ac:dyDescent="0.4">
      <c r="A105" s="938" t="s">
        <v>499</v>
      </c>
      <c r="B105" s="748"/>
      <c r="C105" s="748"/>
      <c r="D105" s="679"/>
      <c r="E105" s="679"/>
    </row>
    <row r="106" spans="1:16" ht="15" thickTop="1" x14ac:dyDescent="0.35">
      <c r="A106" s="688" t="s">
        <v>1017</v>
      </c>
    </row>
    <row r="107" spans="1:16" x14ac:dyDescent="0.35">
      <c r="B107" s="687" t="s">
        <v>1018</v>
      </c>
    </row>
    <row r="108" spans="1:16" x14ac:dyDescent="0.35">
      <c r="B108" s="687" t="s">
        <v>1019</v>
      </c>
    </row>
    <row r="109" spans="1:16" x14ac:dyDescent="0.35">
      <c r="F109" s="679"/>
    </row>
    <row r="110" spans="1:16" x14ac:dyDescent="0.35">
      <c r="A110" s="679"/>
      <c r="B110" s="679"/>
      <c r="C110" s="696"/>
      <c r="D110" s="679"/>
      <c r="E110" s="679"/>
      <c r="F110" s="679"/>
    </row>
    <row r="111" spans="1:16" ht="16" thickBot="1" x14ac:dyDescent="0.4">
      <c r="A111" s="1678"/>
      <c r="B111" s="1678"/>
      <c r="C111" s="1678"/>
      <c r="D111" s="1678"/>
      <c r="E111" s="1678"/>
      <c r="F111" s="1679" t="s">
        <v>72</v>
      </c>
      <c r="G111" s="1680"/>
      <c r="H111" s="1680"/>
      <c r="I111" s="1680"/>
      <c r="J111" s="1680"/>
      <c r="K111" s="1680"/>
      <c r="L111" s="1680"/>
      <c r="M111" s="1680"/>
      <c r="N111" s="1680"/>
      <c r="O111" s="1680"/>
      <c r="P111" s="1681"/>
    </row>
    <row r="112" spans="1:16" ht="15" thickTop="1" x14ac:dyDescent="0.35">
      <c r="A112" s="87"/>
      <c r="B112" s="87"/>
      <c r="C112" s="87"/>
      <c r="D112" s="87"/>
      <c r="E112" s="87"/>
      <c r="F112" s="87"/>
      <c r="G112" s="457"/>
      <c r="H112" s="457"/>
      <c r="I112" s="457"/>
      <c r="J112" s="457"/>
      <c r="K112" s="457"/>
      <c r="L112" s="457"/>
      <c r="M112" s="457"/>
      <c r="N112" s="457"/>
      <c r="O112" s="457"/>
      <c r="P112" s="457"/>
    </row>
  </sheetData>
  <mergeCells count="9">
    <mergeCell ref="B101:C101"/>
    <mergeCell ref="A1:F1"/>
    <mergeCell ref="B94:C94"/>
    <mergeCell ref="B6:C6"/>
    <mergeCell ref="B38:C38"/>
    <mergeCell ref="E6:F6"/>
    <mergeCell ref="E38:F38"/>
    <mergeCell ref="B86:C86"/>
    <mergeCell ref="E86:F86"/>
  </mergeCells>
  <hyperlinks>
    <hyperlink ref="B4" location="'Glossary-FAQs'!A1" display="Glossary/FAQ" xr:uid="{A810662A-9D90-41A2-85DB-1F1462AC481F}"/>
    <hyperlink ref="C3" location="'Welcome'!C15" display="  = Data entry needed. See color legend on Welcome tab for more info.  " xr:uid="{A1213CD4-7D34-484F-A14F-D2053C992256}"/>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92D050"/>
  </sheetPr>
  <dimension ref="A1:AG60"/>
  <sheetViews>
    <sheetView topLeftCell="B1" zoomScale="85" zoomScaleNormal="85" workbookViewId="0">
      <selection activeCell="A2" sqref="A2"/>
    </sheetView>
  </sheetViews>
  <sheetFormatPr defaultColWidth="8.81640625" defaultRowHeight="14.5" x14ac:dyDescent="0.35"/>
  <cols>
    <col min="1" max="1" width="9" customWidth="1"/>
    <col min="2" max="2" width="20.26953125" customWidth="1"/>
    <col min="3" max="3" width="50" customWidth="1"/>
    <col min="4" max="4" width="21.26953125" customWidth="1"/>
    <col min="5" max="5" width="20.453125" customWidth="1"/>
    <col min="6" max="6" width="50" bestFit="1" customWidth="1"/>
    <col min="7" max="7" width="35.81640625" bestFit="1" customWidth="1"/>
    <col min="8" max="8" width="31.453125" bestFit="1" customWidth="1"/>
    <col min="9" max="9" width="13.453125" bestFit="1" customWidth="1"/>
    <col min="10" max="10" width="18.453125" bestFit="1" customWidth="1"/>
    <col min="11" max="11" width="19.81640625" bestFit="1" customWidth="1"/>
    <col min="12" max="12" width="29.1796875" bestFit="1" customWidth="1"/>
    <col min="13" max="13" width="22.81640625" bestFit="1" customWidth="1"/>
    <col min="14" max="14" width="20.81640625" bestFit="1" customWidth="1"/>
    <col min="15" max="15" width="13.1796875" customWidth="1"/>
    <col min="16" max="16" width="10.453125" customWidth="1"/>
    <col min="17" max="17" width="11.453125" customWidth="1"/>
    <col min="18" max="18" width="13.26953125" customWidth="1"/>
    <col min="19" max="19" width="14.7265625" customWidth="1"/>
    <col min="20" max="20" width="12" style="456" customWidth="1"/>
    <col min="21" max="21" width="13.7265625" style="456" customWidth="1"/>
    <col min="22" max="22" width="15.1796875" style="456" customWidth="1"/>
    <col min="23" max="23" width="14" style="456" customWidth="1"/>
    <col min="24" max="24" width="12.1796875" style="456" customWidth="1"/>
    <col min="25" max="25" width="12" style="456" customWidth="1"/>
    <col min="26" max="26" width="16" style="456" customWidth="1"/>
    <col min="27" max="27" width="12.453125" customWidth="1"/>
    <col min="28" max="28" width="12.453125" style="687" customWidth="1"/>
    <col min="29" max="29" width="45.7265625" style="456" customWidth="1"/>
    <col min="30" max="30" width="14.81640625" style="456" customWidth="1"/>
    <col min="31" max="31" width="12.7265625" style="456" customWidth="1"/>
    <col min="32" max="32" width="14.26953125" style="456" customWidth="1"/>
    <col min="33" max="33" width="14" style="456" customWidth="1"/>
    <col min="34" max="34" width="11.453125" customWidth="1"/>
    <col min="35" max="35" width="18.81640625" customWidth="1"/>
    <col min="36" max="36" width="11.1796875" customWidth="1"/>
    <col min="37" max="37" width="13.26953125" customWidth="1"/>
    <col min="38" max="38" width="13.7265625" customWidth="1"/>
    <col min="39" max="39" width="14.1796875" customWidth="1"/>
  </cols>
  <sheetData>
    <row r="1" spans="1:6" s="687" customFormat="1" ht="21.5" thickBot="1" x14ac:dyDescent="0.55000000000000004">
      <c r="A1" s="1942" t="s">
        <v>157</v>
      </c>
      <c r="B1" s="1943"/>
      <c r="C1" s="1943"/>
      <c r="D1" s="1943"/>
      <c r="E1" s="1943"/>
      <c r="F1" s="1944"/>
    </row>
    <row r="2" spans="1:6" s="687" customFormat="1" x14ac:dyDescent="0.35">
      <c r="B2" s="1266"/>
      <c r="C2" s="1266"/>
      <c r="D2" s="1266"/>
      <c r="E2" s="1266"/>
      <c r="F2" s="1266"/>
    </row>
    <row r="3" spans="1:6" s="687" customFormat="1" x14ac:dyDescent="0.35">
      <c r="A3" s="5"/>
      <c r="B3" s="1558" t="s">
        <v>265</v>
      </c>
      <c r="C3" s="1617" t="s">
        <v>432</v>
      </c>
      <c r="D3" s="513"/>
      <c r="E3" s="1550" t="s">
        <v>264</v>
      </c>
      <c r="F3" s="513"/>
    </row>
    <row r="4" spans="1:6" s="687" customFormat="1" x14ac:dyDescent="0.35">
      <c r="A4" s="5"/>
      <c r="B4" s="1667" t="s">
        <v>268</v>
      </c>
      <c r="C4" s="44"/>
      <c r="D4" s="44"/>
      <c r="E4" s="1936" t="s">
        <v>1020</v>
      </c>
      <c r="F4" s="1936"/>
    </row>
    <row r="5" spans="1:6" s="687" customFormat="1" ht="44.5" customHeight="1" x14ac:dyDescent="0.35">
      <c r="E5" s="1936"/>
      <c r="F5" s="1936"/>
    </row>
    <row r="6" spans="1:6" s="687" customFormat="1" x14ac:dyDescent="0.35"/>
    <row r="7" spans="1:6" s="687" customFormat="1" x14ac:dyDescent="0.35">
      <c r="B7" s="1841" t="str">
        <f>(brew1_abb&amp;" Distribution - Weight")</f>
        <v>MAIN Distribution - Weight</v>
      </c>
      <c r="C7" s="1843"/>
      <c r="E7" s="1841" t="str">
        <f>(brew2_abb&amp;" Distribution - Weight")</f>
        <v>2ND Distribution - Weight</v>
      </c>
      <c r="F7" s="1843"/>
    </row>
    <row r="8" spans="1:6" s="687" customFormat="1" x14ac:dyDescent="0.35">
      <c r="B8" s="737">
        <v>400000</v>
      </c>
      <c r="C8" s="1267" t="s">
        <v>1021</v>
      </c>
      <c r="E8" s="737">
        <v>10000</v>
      </c>
      <c r="F8" s="1267" t="str">
        <f>C8</f>
        <v>Number of cases sold - bottles (12oz)</v>
      </c>
    </row>
    <row r="9" spans="1:6" s="687" customFormat="1" x14ac:dyDescent="0.35">
      <c r="B9" s="737">
        <v>800000</v>
      </c>
      <c r="C9" s="1267" t="s">
        <v>1022</v>
      </c>
      <c r="E9" s="737">
        <v>680000</v>
      </c>
      <c r="F9" s="1267" t="str">
        <f t="shared" ref="F9:F27" si="0">C9</f>
        <v>Number of cases sold - cans (12oz)</v>
      </c>
    </row>
    <row r="10" spans="1:6" s="687" customFormat="1" x14ac:dyDescent="0.35">
      <c r="B10" s="737">
        <v>50000</v>
      </c>
      <c r="C10" s="1267" t="s">
        <v>1023</v>
      </c>
      <c r="E10" s="737">
        <v>5000</v>
      </c>
      <c r="F10" s="1267" t="str">
        <f t="shared" si="0"/>
        <v>Number of cases sold - cans (16oz)</v>
      </c>
    </row>
    <row r="11" spans="1:6" s="687" customFormat="1" x14ac:dyDescent="0.35">
      <c r="B11" s="737">
        <v>50000</v>
      </c>
      <c r="C11" s="1267" t="s">
        <v>1024</v>
      </c>
      <c r="E11" s="737">
        <v>7000</v>
      </c>
      <c r="F11" s="1267" t="str">
        <f t="shared" si="0"/>
        <v>Number of cases - cans (19.2oz)</v>
      </c>
    </row>
    <row r="12" spans="1:6" s="687" customFormat="1" x14ac:dyDescent="0.35">
      <c r="B12" s="737">
        <v>1000</v>
      </c>
      <c r="C12" s="1267" t="s">
        <v>1025</v>
      </c>
      <c r="E12" s="737">
        <v>2000</v>
      </c>
      <c r="F12" s="1267" t="str">
        <f t="shared" si="0"/>
        <v>Number of kegs sold (1/2 bbl)</v>
      </c>
    </row>
    <row r="13" spans="1:6" s="687" customFormat="1" x14ac:dyDescent="0.35">
      <c r="B13" s="1179">
        <v>5000</v>
      </c>
      <c r="C13" s="1267" t="s">
        <v>1026</v>
      </c>
      <c r="E13" s="1179">
        <v>3000</v>
      </c>
      <c r="F13" s="1268" t="str">
        <f t="shared" si="0"/>
        <v>Number of kegs sold (1/6 bbl)</v>
      </c>
    </row>
    <row r="14" spans="1:6" s="687" customFormat="1" x14ac:dyDescent="0.35">
      <c r="B14" s="1269">
        <f>'Brewery-Control Data'!P27</f>
        <v>31.648</v>
      </c>
      <c r="C14" s="1270" t="s">
        <v>1027</v>
      </c>
      <c r="E14" s="1269">
        <f>B14</f>
        <v>31.648</v>
      </c>
      <c r="F14" s="1267" t="str">
        <f t="shared" si="0"/>
        <v>Weight of case of bottles (12oz) - lb</v>
      </c>
    </row>
    <row r="15" spans="1:6" s="687" customFormat="1" x14ac:dyDescent="0.35">
      <c r="B15" s="1269">
        <f>'Brewery-Control Data'!P28</f>
        <v>21.156960000000002</v>
      </c>
      <c r="C15" s="1267" t="s">
        <v>1028</v>
      </c>
      <c r="E15" s="1269">
        <f t="shared" ref="E15:E19" si="1">B15</f>
        <v>21.156960000000002</v>
      </c>
      <c r="F15" s="1267" t="str">
        <f t="shared" si="0"/>
        <v>Weight of case of cans (12oz) - lb</v>
      </c>
    </row>
    <row r="16" spans="1:6" s="687" customFormat="1" x14ac:dyDescent="0.35">
      <c r="B16" s="1269">
        <f>'Brewery-Control Data'!P29</f>
        <v>27.894000000000002</v>
      </c>
      <c r="C16" s="1267" t="s">
        <v>1029</v>
      </c>
      <c r="E16" s="1269">
        <f t="shared" si="1"/>
        <v>27.894000000000002</v>
      </c>
      <c r="F16" s="1267" t="str">
        <f t="shared" si="0"/>
        <v>Weight of case of cans (16oz) - lb</v>
      </c>
    </row>
    <row r="17" spans="2:6" s="687" customFormat="1" x14ac:dyDescent="0.35">
      <c r="B17" s="1269">
        <f>'Brewery-Control Data'!P30</f>
        <v>20.943744129999999</v>
      </c>
      <c r="C17" s="1267" t="s">
        <v>1030</v>
      </c>
      <c r="E17" s="1269">
        <f t="shared" si="1"/>
        <v>20.943744129999999</v>
      </c>
      <c r="F17" s="1267" t="str">
        <f t="shared" si="0"/>
        <v>Weight of case of cans (19.2oz) - lb</v>
      </c>
    </row>
    <row r="18" spans="2:6" s="687" customFormat="1" x14ac:dyDescent="0.35">
      <c r="B18" s="1269">
        <f>'Brewery-Control Data'!J15</f>
        <v>160.5</v>
      </c>
      <c r="C18" s="1267" t="s">
        <v>1031</v>
      </c>
      <c r="E18" s="1269">
        <f t="shared" si="1"/>
        <v>160.5</v>
      </c>
      <c r="F18" s="1267" t="str">
        <f t="shared" si="0"/>
        <v>Weight of keg (1/2 bbl) - lb</v>
      </c>
    </row>
    <row r="19" spans="2:6" s="687" customFormat="1" x14ac:dyDescent="0.35">
      <c r="B19" s="1269">
        <f>'Brewery-Control Data'!J15/3</f>
        <v>53.5</v>
      </c>
      <c r="C19" s="1268" t="s">
        <v>1032</v>
      </c>
      <c r="E19" s="1271">
        <f t="shared" si="1"/>
        <v>53.5</v>
      </c>
      <c r="F19" s="1268" t="str">
        <f t="shared" si="0"/>
        <v>Weight of keg (1/6 bbl) - lb</v>
      </c>
    </row>
    <row r="20" spans="2:6" s="687" customFormat="1" x14ac:dyDescent="0.35">
      <c r="B20" s="1272">
        <f>B8*B14</f>
        <v>12659200</v>
      </c>
      <c r="C20" s="1270" t="s">
        <v>1033</v>
      </c>
      <c r="E20" s="1273">
        <f>E8*E14</f>
        <v>316480</v>
      </c>
      <c r="F20" s="1267" t="str">
        <f t="shared" si="0"/>
        <v>Total weight of case of bottles (12oz) - lb</v>
      </c>
    </row>
    <row r="21" spans="2:6" s="687" customFormat="1" x14ac:dyDescent="0.35">
      <c r="B21" s="1273">
        <f t="shared" ref="B21:B25" si="2">B9*B15</f>
        <v>16925568</v>
      </c>
      <c r="C21" s="1267" t="s">
        <v>1034</v>
      </c>
      <c r="E21" s="1273">
        <f t="shared" ref="E21:E25" si="3">E9*E15</f>
        <v>14386732.800000001</v>
      </c>
      <c r="F21" s="1267" t="str">
        <f t="shared" si="0"/>
        <v>Total weight of case of cans (12oz) - lb</v>
      </c>
    </row>
    <row r="22" spans="2:6" s="687" customFormat="1" x14ac:dyDescent="0.35">
      <c r="B22" s="1273">
        <f t="shared" si="2"/>
        <v>1394700</v>
      </c>
      <c r="C22" s="1267" t="s">
        <v>1035</v>
      </c>
      <c r="E22" s="1273">
        <f t="shared" si="3"/>
        <v>139470</v>
      </c>
      <c r="F22" s="1267" t="str">
        <f t="shared" si="0"/>
        <v>Total weight of case of cans (16oz) - lb</v>
      </c>
    </row>
    <row r="23" spans="2:6" s="687" customFormat="1" x14ac:dyDescent="0.35">
      <c r="B23" s="1273">
        <f t="shared" si="2"/>
        <v>1047187.2065</v>
      </c>
      <c r="C23" s="1267" t="s">
        <v>1036</v>
      </c>
      <c r="E23" s="1273">
        <f t="shared" si="3"/>
        <v>146606.20890999999</v>
      </c>
      <c r="F23" s="1267" t="str">
        <f t="shared" si="0"/>
        <v>Total weight of case of cans (19.2oz) - lb</v>
      </c>
    </row>
    <row r="24" spans="2:6" s="687" customFormat="1" x14ac:dyDescent="0.35">
      <c r="B24" s="1273">
        <f t="shared" si="2"/>
        <v>160500</v>
      </c>
      <c r="C24" s="1267" t="s">
        <v>1037</v>
      </c>
      <c r="E24" s="1273">
        <f t="shared" si="3"/>
        <v>321000</v>
      </c>
      <c r="F24" s="1267" t="str">
        <f t="shared" si="0"/>
        <v>Total weight of keg (1/2 bbl) - lb</v>
      </c>
    </row>
    <row r="25" spans="2:6" s="687" customFormat="1" x14ac:dyDescent="0.35">
      <c r="B25" s="1274">
        <f t="shared" si="2"/>
        <v>267500</v>
      </c>
      <c r="C25" s="1268" t="s">
        <v>1038</v>
      </c>
      <c r="E25" s="1274">
        <f t="shared" si="3"/>
        <v>160500</v>
      </c>
      <c r="F25" s="1268" t="str">
        <f t="shared" si="0"/>
        <v>Total weight of keg (1/6 bbl) - lb</v>
      </c>
    </row>
    <row r="26" spans="2:6" s="687" customFormat="1" ht="15" thickBot="1" x14ac:dyDescent="0.4">
      <c r="B26" s="1273">
        <f>SUM(B20:B25)</f>
        <v>32454655.206500001</v>
      </c>
      <c r="C26" s="1267" t="s">
        <v>1039</v>
      </c>
      <c r="E26" s="1273">
        <f>SUM(E20:E25)</f>
        <v>15470789.00891</v>
      </c>
      <c r="F26" s="1267" t="str">
        <f t="shared" si="0"/>
        <v>Total weight (lbs)</v>
      </c>
    </row>
    <row r="27" spans="2:6" s="687" customFormat="1" ht="15" thickBot="1" x14ac:dyDescent="0.4">
      <c r="B27" s="553">
        <f>B26/2000</f>
        <v>16227.32760325</v>
      </c>
      <c r="C27" s="507" t="s">
        <v>1040</v>
      </c>
      <c r="E27" s="553">
        <f>E26/2000</f>
        <v>7735.3945044550001</v>
      </c>
      <c r="F27" s="507" t="str">
        <f t="shared" si="0"/>
        <v>Total weight (tons)</v>
      </c>
    </row>
    <row r="28" spans="2:6" s="687" customFormat="1" x14ac:dyDescent="0.35"/>
    <row r="29" spans="2:6" s="687" customFormat="1" ht="59.25" customHeight="1" x14ac:dyDescent="0.35">
      <c r="B29" s="1945" t="s">
        <v>1041</v>
      </c>
      <c r="C29" s="1945"/>
      <c r="E29" s="1945" t="s">
        <v>1041</v>
      </c>
      <c r="F29" s="1945"/>
    </row>
    <row r="30" spans="2:6" s="687" customFormat="1" x14ac:dyDescent="0.35">
      <c r="B30" s="1841" t="str">
        <f>(brew1_abb&amp;" Distribution - Miles")</f>
        <v>MAIN Distribution - Miles</v>
      </c>
      <c r="C30" s="1843"/>
      <c r="E30" s="1841" t="str">
        <f>(brew2_abb&amp;" Distribution - Miles")</f>
        <v>2ND Distribution - Miles</v>
      </c>
      <c r="F30" s="1843"/>
    </row>
    <row r="31" spans="2:6" s="687" customFormat="1" x14ac:dyDescent="0.35">
      <c r="B31" s="737">
        <v>1000</v>
      </c>
      <c r="C31" s="1267" t="s">
        <v>1042</v>
      </c>
      <c r="E31" s="737">
        <v>1000</v>
      </c>
      <c r="F31" s="1267" t="s">
        <v>1042</v>
      </c>
    </row>
    <row r="32" spans="2:6" s="687" customFormat="1" x14ac:dyDescent="0.35">
      <c r="B32" s="737">
        <v>1000</v>
      </c>
      <c r="C32" s="1267" t="s">
        <v>1042</v>
      </c>
      <c r="E32" s="737">
        <v>1000</v>
      </c>
      <c r="F32" s="1267" t="s">
        <v>1042</v>
      </c>
    </row>
    <row r="33" spans="2:6" s="687" customFormat="1" x14ac:dyDescent="0.35">
      <c r="B33" s="737">
        <v>100</v>
      </c>
      <c r="C33" s="1267" t="s">
        <v>1042</v>
      </c>
      <c r="E33" s="737">
        <v>100</v>
      </c>
      <c r="F33" s="1267" t="s">
        <v>1042</v>
      </c>
    </row>
    <row r="34" spans="2:6" s="687" customFormat="1" x14ac:dyDescent="0.35">
      <c r="B34" s="737">
        <v>500</v>
      </c>
      <c r="C34" s="1267" t="s">
        <v>1042</v>
      </c>
      <c r="E34" s="737">
        <v>500</v>
      </c>
      <c r="F34" s="1267" t="s">
        <v>1042</v>
      </c>
    </row>
    <row r="35" spans="2:6" s="687" customFormat="1" x14ac:dyDescent="0.35">
      <c r="B35" s="737">
        <v>500</v>
      </c>
      <c r="C35" s="1267" t="s">
        <v>1042</v>
      </c>
      <c r="E35" s="737">
        <v>500</v>
      </c>
      <c r="F35" s="1267" t="s">
        <v>1042</v>
      </c>
    </row>
    <row r="36" spans="2:6" s="687" customFormat="1" x14ac:dyDescent="0.35">
      <c r="B36" s="1179">
        <v>500</v>
      </c>
      <c r="C36" s="1268" t="s">
        <v>1042</v>
      </c>
      <c r="E36" s="1179">
        <v>500</v>
      </c>
      <c r="F36" s="1268" t="s">
        <v>1042</v>
      </c>
    </row>
    <row r="37" spans="2:6" s="687" customFormat="1" ht="15" thickBot="1" x14ac:dyDescent="0.4">
      <c r="B37" s="738">
        <f>AVERAGE(B31:B36)</f>
        <v>600</v>
      </c>
      <c r="C37" s="1267" t="s">
        <v>1043</v>
      </c>
      <c r="E37" s="738">
        <f>AVERAGE(E31:E36)</f>
        <v>600</v>
      </c>
      <c r="F37" s="1267" t="s">
        <v>1043</v>
      </c>
    </row>
    <row r="38" spans="2:6" s="687" customFormat="1" ht="15" thickBot="1" x14ac:dyDescent="0.4">
      <c r="B38" s="1275">
        <v>1000</v>
      </c>
      <c r="C38" s="507" t="s">
        <v>1044</v>
      </c>
      <c r="E38" s="1275">
        <v>1000</v>
      </c>
      <c r="F38" s="507" t="s">
        <v>1044</v>
      </c>
    </row>
    <row r="39" spans="2:6" s="687" customFormat="1" ht="15" thickBot="1" x14ac:dyDescent="0.4"/>
    <row r="40" spans="2:6" s="687" customFormat="1" ht="15" thickBot="1" x14ac:dyDescent="0.4">
      <c r="B40" s="1841" t="str">
        <f>(brew1_abb&amp;" Distribution - Total")</f>
        <v>MAIN Distribution - Total</v>
      </c>
      <c r="C40" s="1843"/>
      <c r="E40" s="1841" t="str">
        <f>(brew2_abb&amp;" Distribution - Total")</f>
        <v>2ND Distribution - Total</v>
      </c>
      <c r="F40" s="1843"/>
    </row>
    <row r="41" spans="2:6" s="687" customFormat="1" x14ac:dyDescent="0.35">
      <c r="B41" s="1280">
        <v>0.4</v>
      </c>
      <c r="C41" s="20" t="s">
        <v>1045</v>
      </c>
      <c r="E41" s="1280">
        <v>0.5</v>
      </c>
      <c r="F41" s="20" t="s">
        <v>1045</v>
      </c>
    </row>
    <row r="42" spans="2:6" s="687" customFormat="1" x14ac:dyDescent="0.35">
      <c r="B42" s="903">
        <f>B27-(B27*B41)</f>
        <v>9736.3965619499995</v>
      </c>
      <c r="C42" s="20" t="s">
        <v>1046</v>
      </c>
      <c r="E42" s="903">
        <f>E27-(E27*E41)</f>
        <v>3867.6972522275</v>
      </c>
      <c r="F42" s="20" t="s">
        <v>1046</v>
      </c>
    </row>
    <row r="43" spans="2:6" s="687" customFormat="1" x14ac:dyDescent="0.35">
      <c r="B43" s="903">
        <f>B38</f>
        <v>1000</v>
      </c>
      <c r="C43" s="20" t="s">
        <v>1047</v>
      </c>
      <c r="E43" s="903">
        <f>E38</f>
        <v>1000</v>
      </c>
      <c r="F43" s="20" t="s">
        <v>1047</v>
      </c>
    </row>
    <row r="44" spans="2:6" s="687" customFormat="1" x14ac:dyDescent="0.35">
      <c r="B44" s="903">
        <f>B42*B43</f>
        <v>9736396.56195</v>
      </c>
      <c r="C44" s="20" t="s">
        <v>1048</v>
      </c>
      <c r="E44" s="903">
        <f>E42*E43</f>
        <v>3867697.2522275001</v>
      </c>
      <c r="F44" s="20" t="s">
        <v>1048</v>
      </c>
    </row>
    <row r="45" spans="2:6" s="687" customFormat="1" ht="15" thickBot="1" x14ac:dyDescent="0.4">
      <c r="B45" s="1529">
        <f>'Brewery-Control Data'!$C$41</f>
        <v>0.20200000000000001</v>
      </c>
      <c r="C45" s="1267" t="s">
        <v>786</v>
      </c>
      <c r="E45" s="1529">
        <f>'Brewery-Control Data'!$C$41</f>
        <v>0.20200000000000001</v>
      </c>
      <c r="F45" s="1267" t="s">
        <v>786</v>
      </c>
    </row>
    <row r="46" spans="2:6" s="687" customFormat="1" ht="15" thickBot="1" x14ac:dyDescent="0.4">
      <c r="B46" s="553">
        <f>B45*B44</f>
        <v>1966752.1055139001</v>
      </c>
      <c r="C46" s="507" t="s">
        <v>1049</v>
      </c>
      <c r="E46" s="553">
        <f>E45*E44</f>
        <v>781274.84494995512</v>
      </c>
      <c r="F46" s="507" t="s">
        <v>1049</v>
      </c>
    </row>
    <row r="47" spans="2:6" s="687" customFormat="1" ht="15" thickBot="1" x14ac:dyDescent="0.4">
      <c r="B47" s="551">
        <f>'Brewery-Control Data'!$B$10</f>
        <v>123215.153565</v>
      </c>
      <c r="C47" s="639" t="s">
        <v>871</v>
      </c>
      <c r="E47" s="551">
        <f>'Brewery-Control Data'!$E$10</f>
        <v>88010.823974999992</v>
      </c>
      <c r="F47" s="639" t="s">
        <v>871</v>
      </c>
    </row>
    <row r="48" spans="2:6" s="687" customFormat="1" ht="15" thickBot="1" x14ac:dyDescent="0.4">
      <c r="B48" s="506">
        <f>B46/B47</f>
        <v>15.961933647036153</v>
      </c>
      <c r="C48" s="685" t="s">
        <v>1050</v>
      </c>
      <c r="E48" s="506">
        <f>E46/E47</f>
        <v>8.8770313657315718</v>
      </c>
      <c r="F48" s="685" t="s">
        <v>1050</v>
      </c>
    </row>
    <row r="49" spans="1:16" s="687" customFormat="1" x14ac:dyDescent="0.35"/>
    <row r="50" spans="1:16" s="687" customFormat="1" ht="15" thickBot="1" x14ac:dyDescent="0.4">
      <c r="B50" s="722"/>
    </row>
    <row r="51" spans="1:16" s="687" customFormat="1" ht="16" thickBot="1" x14ac:dyDescent="0.4">
      <c r="A51" s="842" t="s">
        <v>492</v>
      </c>
      <c r="B51" s="918"/>
      <c r="C51" s="198"/>
    </row>
    <row r="52" spans="1:16" s="687" customFormat="1" ht="16" thickBot="1" x14ac:dyDescent="0.4">
      <c r="A52" s="900"/>
      <c r="B52" s="921"/>
      <c r="C52" s="198"/>
    </row>
    <row r="53" spans="1:16" s="687" customFormat="1" ht="15" thickBot="1" x14ac:dyDescent="0.4">
      <c r="B53" s="1841" t="s">
        <v>1051</v>
      </c>
      <c r="C53" s="1843"/>
    </row>
    <row r="54" spans="1:16" s="687" customFormat="1" ht="15" thickBot="1" x14ac:dyDescent="0.4">
      <c r="B54" s="536">
        <f>B46+E46</f>
        <v>2748026.9504638552</v>
      </c>
      <c r="C54" s="537" t="s">
        <v>1052</v>
      </c>
    </row>
    <row r="55" spans="1:16" s="687" customFormat="1" ht="15" thickBot="1" x14ac:dyDescent="0.4">
      <c r="B55" s="1286">
        <f>'Brewery-Control Data'!$H$10</f>
        <v>211225.97753999999</v>
      </c>
      <c r="C55" s="920" t="s">
        <v>276</v>
      </c>
    </row>
    <row r="56" spans="1:16" s="687" customFormat="1" ht="15" thickBot="1" x14ac:dyDescent="0.4">
      <c r="B56" s="506">
        <f>B54/B55</f>
        <v>13.00989102982591</v>
      </c>
      <c r="C56" s="685" t="s">
        <v>1053</v>
      </c>
    </row>
    <row r="57" spans="1:16" s="687" customFormat="1" x14ac:dyDescent="0.35"/>
    <row r="58" spans="1:16" s="687" customFormat="1" x14ac:dyDescent="0.35"/>
    <row r="59" spans="1:16" s="687" customFormat="1" ht="16" thickBot="1" x14ac:dyDescent="0.4">
      <c r="A59" s="1678"/>
      <c r="B59" s="1678"/>
      <c r="C59" s="1678"/>
      <c r="D59" s="1678"/>
      <c r="E59" s="1678"/>
      <c r="F59" s="1679" t="s">
        <v>72</v>
      </c>
      <c r="G59" s="1680"/>
      <c r="H59" s="1680"/>
      <c r="I59" s="1680"/>
      <c r="J59" s="1680"/>
      <c r="K59" s="1680"/>
      <c r="L59" s="1680"/>
      <c r="M59" s="1680"/>
      <c r="N59" s="1680"/>
      <c r="O59" s="1680"/>
      <c r="P59" s="1681"/>
    </row>
    <row r="60" spans="1:16" ht="15" thickTop="1" x14ac:dyDescent="0.35">
      <c r="A60" s="87"/>
      <c r="B60" s="87"/>
      <c r="C60" s="87"/>
      <c r="D60" s="87"/>
      <c r="E60" s="87"/>
      <c r="F60" s="87"/>
      <c r="G60" s="457"/>
      <c r="H60" s="457"/>
      <c r="I60" s="457"/>
      <c r="J60" s="457"/>
      <c r="K60" s="457"/>
      <c r="L60" s="457"/>
      <c r="M60" s="457"/>
      <c r="N60" s="457"/>
      <c r="O60" s="457"/>
      <c r="P60" s="457"/>
    </row>
  </sheetData>
  <mergeCells count="11">
    <mergeCell ref="B53:C53"/>
    <mergeCell ref="B40:C40"/>
    <mergeCell ref="E40:F40"/>
    <mergeCell ref="A1:F1"/>
    <mergeCell ref="B7:C7"/>
    <mergeCell ref="E7:F7"/>
    <mergeCell ref="B29:C29"/>
    <mergeCell ref="B30:C30"/>
    <mergeCell ref="E30:F30"/>
    <mergeCell ref="E29:F29"/>
    <mergeCell ref="E4:F5"/>
  </mergeCells>
  <phoneticPr fontId="44" type="noConversion"/>
  <hyperlinks>
    <hyperlink ref="B4" location="'Glossary-FAQs'!A1" display="Glossary/FAQ" xr:uid="{5999CF58-013F-4D6C-AE0C-280387B7544F}"/>
    <hyperlink ref="C3" location="'Welcome'!C15" display="  = Data entry needed. See color legend on Welcome tab for more info.  " xr:uid="{1F9CC752-43E8-42B2-A518-0DEA2C0D469D}"/>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92D050"/>
  </sheetPr>
  <dimension ref="A1:Q153"/>
  <sheetViews>
    <sheetView zoomScale="85" zoomScaleNormal="85" workbookViewId="0">
      <selection activeCell="B2" sqref="B2"/>
    </sheetView>
  </sheetViews>
  <sheetFormatPr defaultColWidth="11.453125" defaultRowHeight="14.5" x14ac:dyDescent="0.35"/>
  <cols>
    <col min="1" max="1" width="5.1796875" style="687" customWidth="1"/>
    <col min="2" max="2" width="15.81640625" style="647" customWidth="1"/>
    <col min="3" max="3" width="15.7265625" style="647" customWidth="1"/>
    <col min="4" max="4" width="12.26953125" style="647" customWidth="1"/>
    <col min="5" max="5" width="12.453125" style="647" customWidth="1"/>
    <col min="6" max="6" width="26.453125" style="647" customWidth="1"/>
    <col min="7" max="7" width="19.7265625" style="647" customWidth="1"/>
    <col min="8" max="8" width="3.26953125" style="647" customWidth="1"/>
    <col min="9" max="9" width="14.453125" style="647" customWidth="1"/>
    <col min="10" max="10" width="13" style="647" customWidth="1"/>
    <col min="11" max="11" width="12.453125" style="647" customWidth="1"/>
    <col min="12" max="12" width="14" style="647" customWidth="1"/>
    <col min="13" max="13" width="19.7265625" style="647" customWidth="1"/>
    <col min="14" max="14" width="20.81640625" style="647" customWidth="1"/>
    <col min="15" max="15" width="5.453125" style="647" customWidth="1"/>
    <col min="16" max="16" width="59" style="647" bestFit="1" customWidth="1"/>
    <col min="17" max="16384" width="11.453125" style="647"/>
  </cols>
  <sheetData>
    <row r="1" spans="2:17" ht="21.5" thickBot="1" x14ac:dyDescent="0.55000000000000004">
      <c r="B1" s="1942" t="s">
        <v>1054</v>
      </c>
      <c r="C1" s="1943"/>
      <c r="D1" s="1943"/>
      <c r="E1" s="1943"/>
      <c r="F1" s="1943"/>
      <c r="G1" s="1943"/>
      <c r="H1" s="1943"/>
      <c r="I1" s="1943"/>
      <c r="J1" s="1943"/>
      <c r="K1" s="1943"/>
      <c r="L1" s="1943"/>
      <c r="M1" s="1943"/>
      <c r="N1" s="1944"/>
      <c r="O1" s="687"/>
      <c r="P1" s="687"/>
      <c r="Q1" s="687"/>
    </row>
    <row r="2" spans="2:17" ht="18" x14ac:dyDescent="0.4">
      <c r="B2" s="86"/>
      <c r="C2" s="687"/>
      <c r="D2" s="687"/>
      <c r="E2" s="687"/>
      <c r="F2" s="687"/>
      <c r="G2" s="687"/>
      <c r="H2" s="687"/>
      <c r="I2" s="687"/>
      <c r="J2" s="687"/>
      <c r="K2" s="687"/>
      <c r="L2" s="687"/>
      <c r="M2" s="687"/>
      <c r="N2" s="687"/>
      <c r="O2" s="687"/>
      <c r="P2" s="687"/>
      <c r="Q2" s="687"/>
    </row>
    <row r="3" spans="2:17" s="687" customFormat="1" x14ac:dyDescent="0.35">
      <c r="B3" s="1558" t="s">
        <v>265</v>
      </c>
      <c r="C3" s="1617" t="s">
        <v>432</v>
      </c>
      <c r="G3" s="1550" t="s">
        <v>264</v>
      </c>
    </row>
    <row r="4" spans="2:17" s="687" customFormat="1" x14ac:dyDescent="0.35">
      <c r="B4" s="1667" t="s">
        <v>268</v>
      </c>
      <c r="C4" s="44"/>
      <c r="G4" s="1253" t="s">
        <v>1055</v>
      </c>
    </row>
    <row r="5" spans="2:17" s="687" customFormat="1" x14ac:dyDescent="0.35">
      <c r="B5" s="1547"/>
      <c r="C5" s="44"/>
    </row>
    <row r="6" spans="2:17" ht="15" thickBot="1" x14ac:dyDescent="0.4">
      <c r="B6" s="1841" t="s">
        <v>1056</v>
      </c>
      <c r="C6" s="1842"/>
      <c r="D6" s="1842"/>
      <c r="E6" s="1842"/>
      <c r="F6" s="1842"/>
      <c r="G6" s="1842"/>
      <c r="H6" s="1842"/>
      <c r="I6" s="1842"/>
      <c r="J6" s="1842"/>
      <c r="K6" s="1842"/>
      <c r="L6" s="1842"/>
      <c r="M6" s="1842"/>
      <c r="N6" s="1843"/>
      <c r="O6" s="687"/>
      <c r="P6" s="687"/>
      <c r="Q6" s="687"/>
    </row>
    <row r="7" spans="2:17" ht="15" customHeight="1" thickBot="1" x14ac:dyDescent="0.4">
      <c r="B7" s="1948" t="s">
        <v>1057</v>
      </c>
      <c r="C7" s="1949"/>
      <c r="D7" s="1949"/>
      <c r="E7" s="1949"/>
      <c r="F7" s="1949"/>
      <c r="G7" s="1949"/>
      <c r="H7" s="1949"/>
      <c r="I7" s="1949"/>
      <c r="J7" s="1949"/>
      <c r="K7" s="1949"/>
      <c r="L7" s="1949"/>
      <c r="M7" s="1949"/>
      <c r="N7" s="1950"/>
      <c r="O7" s="687"/>
      <c r="P7" s="687"/>
      <c r="Q7" s="687"/>
    </row>
    <row r="8" spans="2:17" x14ac:dyDescent="0.35">
      <c r="B8" s="651" t="s">
        <v>1058</v>
      </c>
      <c r="C8" s="650"/>
      <c r="D8" s="650"/>
      <c r="E8" s="650"/>
      <c r="F8" s="650"/>
      <c r="G8" s="650"/>
      <c r="H8" s="561"/>
      <c r="I8" s="561"/>
      <c r="J8" s="561"/>
      <c r="K8" s="561"/>
      <c r="L8" s="561"/>
      <c r="M8" s="561"/>
      <c r="N8" s="562"/>
      <c r="O8" s="687"/>
      <c r="P8" s="687"/>
      <c r="Q8" s="687"/>
    </row>
    <row r="9" spans="2:17" x14ac:dyDescent="0.35">
      <c r="B9" s="1951" t="s">
        <v>1059</v>
      </c>
      <c r="C9" s="1952"/>
      <c r="D9" s="1952"/>
      <c r="E9" s="1952"/>
      <c r="F9" s="1952"/>
      <c r="G9" s="1952"/>
      <c r="H9" s="561"/>
      <c r="I9" s="561"/>
      <c r="J9" s="561"/>
      <c r="K9" s="561"/>
      <c r="L9" s="561"/>
      <c r="M9" s="561"/>
      <c r="N9" s="562"/>
      <c r="O9" s="687"/>
      <c r="P9" s="687"/>
      <c r="Q9" s="687"/>
    </row>
    <row r="10" spans="2:17" x14ac:dyDescent="0.35">
      <c r="B10" s="1963" t="s">
        <v>1060</v>
      </c>
      <c r="C10" s="1964"/>
      <c r="D10" s="1964"/>
      <c r="E10" s="1964"/>
      <c r="F10" s="1964"/>
      <c r="G10" s="1710" t="s">
        <v>1061</v>
      </c>
      <c r="H10" s="561"/>
      <c r="I10" s="561"/>
      <c r="J10" s="561"/>
      <c r="K10" s="561"/>
      <c r="L10" s="561"/>
      <c r="M10" s="561"/>
      <c r="N10" s="562"/>
      <c r="O10" s="687"/>
      <c r="P10" s="687"/>
      <c r="Q10" s="687"/>
    </row>
    <row r="11" spans="2:17" x14ac:dyDescent="0.35">
      <c r="B11" s="1968" t="s">
        <v>1062</v>
      </c>
      <c r="C11" s="1969"/>
      <c r="D11" s="1969"/>
      <c r="E11" s="1969"/>
      <c r="F11" s="1969"/>
      <c r="G11" s="565" t="s">
        <v>1063</v>
      </c>
      <c r="H11" s="563"/>
      <c r="I11" s="563"/>
      <c r="J11" s="563"/>
      <c r="K11" s="563"/>
      <c r="L11" s="563"/>
      <c r="M11" s="563"/>
      <c r="N11" s="564"/>
      <c r="O11" s="687"/>
      <c r="P11" s="687"/>
      <c r="Q11" s="687"/>
    </row>
    <row r="12" spans="2:17" x14ac:dyDescent="0.35">
      <c r="B12" s="1968" t="s">
        <v>1064</v>
      </c>
      <c r="C12" s="1969"/>
      <c r="D12" s="1969"/>
      <c r="E12" s="1969"/>
      <c r="F12" s="1969"/>
      <c r="G12" s="565" t="s">
        <v>1065</v>
      </c>
      <c r="H12" s="563"/>
      <c r="I12" s="563"/>
      <c r="J12" s="563"/>
      <c r="K12" s="563"/>
      <c r="L12" s="563"/>
      <c r="M12" s="563"/>
      <c r="N12" s="564"/>
      <c r="O12" s="687"/>
      <c r="P12" s="687"/>
      <c r="Q12" s="687"/>
    </row>
    <row r="13" spans="2:17" x14ac:dyDescent="0.35">
      <c r="B13" s="1968" t="s">
        <v>1066</v>
      </c>
      <c r="C13" s="1969"/>
      <c r="D13" s="1969"/>
      <c r="E13" s="1969"/>
      <c r="F13" s="1969"/>
      <c r="G13" s="565" t="s">
        <v>1065</v>
      </c>
      <c r="H13" s="563"/>
      <c r="I13" s="563"/>
      <c r="J13" s="563"/>
      <c r="K13" s="563"/>
      <c r="L13" s="563"/>
      <c r="M13" s="563"/>
      <c r="N13" s="564"/>
      <c r="O13" s="687"/>
      <c r="P13" s="687"/>
      <c r="Q13" s="687"/>
    </row>
    <row r="14" spans="2:17" x14ac:dyDescent="0.35">
      <c r="B14" s="1968" t="s">
        <v>1067</v>
      </c>
      <c r="C14" s="1969"/>
      <c r="D14" s="1969"/>
      <c r="E14" s="1969"/>
      <c r="F14" s="1969"/>
      <c r="G14" s="565" t="s">
        <v>1068</v>
      </c>
      <c r="H14" s="563"/>
      <c r="I14" s="563"/>
      <c r="J14" s="563"/>
      <c r="K14" s="563"/>
      <c r="L14" s="563"/>
      <c r="M14" s="563"/>
      <c r="N14" s="564"/>
      <c r="O14" s="687"/>
      <c r="P14" s="687"/>
      <c r="Q14" s="687"/>
    </row>
    <row r="15" spans="2:17" ht="15" customHeight="1" x14ac:dyDescent="0.35">
      <c r="B15" s="1959" t="s">
        <v>1069</v>
      </c>
      <c r="C15" s="1960"/>
      <c r="D15" s="1960"/>
      <c r="E15" s="1960"/>
      <c r="F15" s="1960"/>
      <c r="G15" s="1970" t="s">
        <v>1070</v>
      </c>
      <c r="H15" s="1251"/>
      <c r="I15" s="563"/>
      <c r="J15" s="563"/>
      <c r="K15" s="563"/>
      <c r="L15" s="563"/>
      <c r="M15" s="563"/>
      <c r="N15" s="564"/>
      <c r="O15" s="687"/>
      <c r="P15" s="687"/>
      <c r="Q15" s="687"/>
    </row>
    <row r="16" spans="2:17" x14ac:dyDescent="0.35">
      <c r="B16" s="1959"/>
      <c r="C16" s="1960"/>
      <c r="D16" s="1960"/>
      <c r="E16" s="1960"/>
      <c r="F16" s="1960"/>
      <c r="G16" s="1970"/>
      <c r="H16" s="563"/>
      <c r="I16" s="563"/>
      <c r="J16" s="563"/>
      <c r="K16" s="563"/>
      <c r="L16" s="563"/>
      <c r="M16" s="563"/>
      <c r="N16" s="564"/>
      <c r="O16" s="687"/>
      <c r="P16" s="687"/>
      <c r="Q16" s="687"/>
    </row>
    <row r="17" spans="2:17" x14ac:dyDescent="0.35">
      <c r="B17" s="560"/>
      <c r="C17" s="1494"/>
      <c r="D17" s="1494"/>
      <c r="E17" s="1494"/>
      <c r="F17" s="1494"/>
      <c r="G17" s="563"/>
      <c r="H17" s="563"/>
      <c r="I17" s="563"/>
      <c r="J17" s="563"/>
      <c r="K17" s="563"/>
      <c r="L17" s="563"/>
      <c r="M17" s="563"/>
      <c r="N17" s="564"/>
      <c r="O17" s="687"/>
      <c r="P17" s="687"/>
      <c r="Q17" s="687"/>
    </row>
    <row r="18" spans="2:17" x14ac:dyDescent="0.35">
      <c r="B18" s="1929" t="s">
        <v>1071</v>
      </c>
      <c r="C18" s="1930"/>
      <c r="D18" s="1930"/>
      <c r="E18" s="1930"/>
      <c r="F18" s="1930"/>
      <c r="G18" s="1961"/>
      <c r="H18" s="457"/>
      <c r="I18" s="1975"/>
      <c r="J18" s="1975"/>
      <c r="K18" s="1975"/>
      <c r="L18" s="1975"/>
      <c r="M18" s="1975"/>
      <c r="N18" s="1976"/>
      <c r="O18" s="687"/>
      <c r="P18" s="687"/>
      <c r="Q18" s="687"/>
    </row>
    <row r="19" spans="2:17" x14ac:dyDescent="0.35">
      <c r="B19" s="661">
        <f>'Ref-Retail Inputs'!A21</f>
        <v>345.20547945205482</v>
      </c>
      <c r="C19" s="598" t="s">
        <v>1072</v>
      </c>
      <c r="D19" s="689"/>
      <c r="E19" s="457"/>
      <c r="F19" s="457"/>
      <c r="G19" s="657" t="s">
        <v>1073</v>
      </c>
      <c r="H19" s="457"/>
      <c r="I19" s="655"/>
      <c r="J19" s="190"/>
      <c r="K19" s="298"/>
      <c r="L19" s="457"/>
      <c r="M19" s="457"/>
      <c r="N19" s="106"/>
      <c r="O19" s="687"/>
      <c r="P19" s="687"/>
      <c r="Q19" s="687"/>
    </row>
    <row r="20" spans="2:17" x14ac:dyDescent="0.35">
      <c r="B20" s="1234">
        <f>'Ref-Retail Inputs'!A31</f>
        <v>6.7976666666666669E-4</v>
      </c>
      <c r="C20" s="598" t="s">
        <v>1074</v>
      </c>
      <c r="D20" s="108"/>
      <c r="E20" s="108"/>
      <c r="F20" s="457"/>
      <c r="G20" s="657" t="s">
        <v>1075</v>
      </c>
      <c r="H20" s="457"/>
      <c r="I20" s="457"/>
      <c r="J20" s="457"/>
      <c r="K20" s="457"/>
      <c r="L20" s="457"/>
      <c r="M20" s="457"/>
      <c r="N20" s="106"/>
      <c r="O20" s="687"/>
      <c r="P20" s="687"/>
      <c r="Q20" s="687"/>
    </row>
    <row r="21" spans="2:17" x14ac:dyDescent="0.35">
      <c r="B21" s="623">
        <f>'Ref-Retail Inputs'!A37</f>
        <v>6.9444444444444448E-2</v>
      </c>
      <c r="C21" s="598" t="s">
        <v>1076</v>
      </c>
      <c r="D21" s="108"/>
      <c r="E21" s="108"/>
      <c r="F21" s="108"/>
      <c r="G21" s="657" t="s">
        <v>330</v>
      </c>
      <c r="H21" s="457"/>
      <c r="I21" s="190"/>
      <c r="J21" s="190"/>
      <c r="K21" s="108"/>
      <c r="L21" s="108"/>
      <c r="M21" s="108"/>
      <c r="N21" s="464"/>
      <c r="O21" s="687"/>
      <c r="P21" s="687"/>
      <c r="Q21" s="687"/>
    </row>
    <row r="22" spans="2:17" x14ac:dyDescent="0.35">
      <c r="B22" s="654">
        <f>'Ref-Retail Inputs'!A39</f>
        <v>4</v>
      </c>
      <c r="C22" s="598" t="s">
        <v>1077</v>
      </c>
      <c r="D22" s="108"/>
      <c r="E22" s="108"/>
      <c r="F22" s="108"/>
      <c r="G22" s="657" t="s">
        <v>1078</v>
      </c>
      <c r="H22" s="457"/>
      <c r="I22" s="457"/>
      <c r="J22" s="457"/>
      <c r="K22" s="457"/>
      <c r="L22" s="457"/>
      <c r="M22" s="457"/>
      <c r="N22" s="106"/>
      <c r="O22" s="687"/>
      <c r="P22" s="687"/>
      <c r="Q22" s="687"/>
    </row>
    <row r="23" spans="2:17" x14ac:dyDescent="0.35">
      <c r="B23" s="929">
        <f>'Ref-Retail Inputs'!A41</f>
        <v>0.59536</v>
      </c>
      <c r="C23" s="658" t="s">
        <v>1079</v>
      </c>
      <c r="D23" s="586"/>
      <c r="E23" s="586"/>
      <c r="F23" s="586"/>
      <c r="G23" s="659" t="s">
        <v>1080</v>
      </c>
      <c r="H23" s="457"/>
      <c r="I23" s="457"/>
      <c r="J23" s="457"/>
      <c r="K23" s="457"/>
      <c r="L23" s="457"/>
      <c r="M23" s="457"/>
      <c r="N23" s="106"/>
      <c r="O23" s="687"/>
      <c r="P23" s="687"/>
      <c r="Q23" s="687"/>
    </row>
    <row r="24" spans="2:17" x14ac:dyDescent="0.35">
      <c r="B24" s="1576">
        <f>B19*B20*B21*B22*B23</f>
        <v>3.8807413406392703E-2</v>
      </c>
      <c r="C24" s="577" t="s">
        <v>1081</v>
      </c>
      <c r="D24" s="526"/>
      <c r="E24" s="526"/>
      <c r="F24" s="526"/>
      <c r="G24" s="245"/>
      <c r="H24" s="457"/>
      <c r="I24" s="457"/>
      <c r="J24" s="457"/>
      <c r="K24" s="457"/>
      <c r="L24" s="457"/>
      <c r="M24" s="457"/>
      <c r="N24" s="106"/>
      <c r="O24" s="687"/>
      <c r="P24" s="687"/>
      <c r="Q24" s="687"/>
    </row>
    <row r="25" spans="2:17" x14ac:dyDescent="0.35">
      <c r="B25" s="458">
        <v>6</v>
      </c>
      <c r="C25" s="244" t="s">
        <v>1082</v>
      </c>
      <c r="D25" s="457"/>
      <c r="E25" s="457"/>
      <c r="F25" s="457"/>
      <c r="G25" s="682"/>
      <c r="H25" s="457"/>
      <c r="I25" s="103"/>
      <c r="J25" s="457"/>
      <c r="K25" s="457"/>
      <c r="L25" s="457"/>
      <c r="M25" s="457"/>
      <c r="N25" s="106"/>
      <c r="O25" s="687"/>
      <c r="P25" s="688"/>
      <c r="Q25" s="687"/>
    </row>
    <row r="26" spans="2:17" x14ac:dyDescent="0.35">
      <c r="B26" s="1577">
        <f>B24/B25</f>
        <v>6.4679022343987836E-3</v>
      </c>
      <c r="C26" s="658" t="s">
        <v>1083</v>
      </c>
      <c r="D26" s="246"/>
      <c r="E26" s="246"/>
      <c r="F26" s="246"/>
      <c r="G26" s="544"/>
      <c r="H26" s="457"/>
      <c r="I26" s="656"/>
      <c r="J26" s="534"/>
      <c r="K26" s="534"/>
      <c r="L26" s="534"/>
      <c r="M26" s="457"/>
      <c r="N26" s="106"/>
      <c r="O26" s="687"/>
      <c r="P26" s="687"/>
      <c r="Q26" s="687"/>
    </row>
    <row r="27" spans="2:17" x14ac:dyDescent="0.35">
      <c r="B27" s="458"/>
      <c r="C27" s="457"/>
      <c r="D27" s="457"/>
      <c r="E27" s="457"/>
      <c r="F27" s="457"/>
      <c r="G27" s="457"/>
      <c r="H27" s="457"/>
      <c r="I27" s="656"/>
      <c r="J27" s="534"/>
      <c r="K27" s="534"/>
      <c r="L27" s="534"/>
      <c r="M27" s="457"/>
      <c r="N27" s="106"/>
      <c r="O27" s="687"/>
      <c r="P27" s="687"/>
      <c r="Q27" s="687"/>
    </row>
    <row r="28" spans="2:17" x14ac:dyDescent="0.35">
      <c r="B28" s="1147">
        <v>165000</v>
      </c>
      <c r="C28" s="526" t="s">
        <v>1084</v>
      </c>
      <c r="D28" s="526"/>
      <c r="E28" s="526"/>
      <c r="F28" s="526"/>
      <c r="G28" s="245"/>
      <c r="H28" s="457"/>
      <c r="I28" s="656"/>
      <c r="J28" s="534"/>
      <c r="K28" s="534"/>
      <c r="L28" s="534"/>
      <c r="M28" s="457"/>
      <c r="N28" s="1171"/>
      <c r="O28" s="687"/>
      <c r="P28" s="687"/>
      <c r="Q28" s="687"/>
    </row>
    <row r="29" spans="2:17" x14ac:dyDescent="0.35">
      <c r="B29" s="571">
        <f>'Brewery-Control Data'!J21</f>
        <v>55.111111111111114</v>
      </c>
      <c r="C29" s="457" t="s">
        <v>1085</v>
      </c>
      <c r="D29" s="457"/>
      <c r="E29" s="457"/>
      <c r="F29" s="457"/>
      <c r="G29" s="682"/>
      <c r="H29" s="457"/>
      <c r="I29" s="656"/>
      <c r="J29" s="534"/>
      <c r="K29" s="534"/>
      <c r="L29" s="534"/>
      <c r="M29" s="457"/>
      <c r="N29" s="620"/>
      <c r="O29" s="687"/>
      <c r="P29" s="687"/>
      <c r="Q29" s="687"/>
    </row>
    <row r="30" spans="2:17" ht="15" thickBot="1" x14ac:dyDescent="0.4">
      <c r="B30" s="539">
        <f>B28*B29</f>
        <v>9093333.333333334</v>
      </c>
      <c r="C30" s="457" t="s">
        <v>1086</v>
      </c>
      <c r="D30" s="457"/>
      <c r="E30" s="457"/>
      <c r="F30" s="457"/>
      <c r="G30" s="682"/>
      <c r="H30" s="457"/>
      <c r="I30" s="656"/>
      <c r="J30" s="534"/>
      <c r="K30" s="534"/>
      <c r="L30" s="534"/>
      <c r="M30" s="457"/>
      <c r="N30" s="106"/>
      <c r="O30" s="687"/>
      <c r="P30" s="687"/>
      <c r="Q30" s="687"/>
    </row>
    <row r="31" spans="2:17" ht="15" thickBot="1" x14ac:dyDescent="0.4">
      <c r="B31" s="553">
        <f>B30*B24</f>
        <v>352888.74590879766</v>
      </c>
      <c r="C31" s="554" t="s">
        <v>1087</v>
      </c>
      <c r="D31" s="554"/>
      <c r="E31" s="554"/>
      <c r="F31" s="546"/>
      <c r="G31" s="682"/>
      <c r="H31" s="457"/>
      <c r="I31" s="656"/>
      <c r="J31" s="534"/>
      <c r="K31" s="534"/>
      <c r="L31" s="534"/>
      <c r="M31" s="457"/>
      <c r="N31" s="348"/>
      <c r="O31" s="687"/>
      <c r="P31" s="687"/>
      <c r="Q31" s="687"/>
    </row>
    <row r="32" spans="2:17" ht="15" thickBot="1" x14ac:dyDescent="0.4">
      <c r="B32" s="550">
        <f>'Brewery-Control Data'!$H$10</f>
        <v>211225.97753999999</v>
      </c>
      <c r="C32" s="534" t="s">
        <v>276</v>
      </c>
      <c r="D32" s="534"/>
      <c r="E32" s="534"/>
      <c r="F32" s="534"/>
      <c r="G32" s="682"/>
      <c r="H32" s="457"/>
      <c r="I32" s="656"/>
      <c r="J32" s="534"/>
      <c r="K32" s="534"/>
      <c r="L32" s="534"/>
      <c r="M32" s="457"/>
      <c r="N32" s="348"/>
      <c r="O32" s="687"/>
      <c r="P32" s="687"/>
      <c r="Q32" s="687"/>
    </row>
    <row r="33" spans="2:17" ht="15" thickBot="1" x14ac:dyDescent="0.4">
      <c r="B33" s="619">
        <f>B31/B32</f>
        <v>1.6706692520429733</v>
      </c>
      <c r="C33" s="556" t="s">
        <v>1088</v>
      </c>
      <c r="D33" s="556"/>
      <c r="E33" s="556"/>
      <c r="F33" s="610"/>
      <c r="G33" s="544"/>
      <c r="H33" s="457"/>
      <c r="I33" s="656"/>
      <c r="J33" s="534"/>
      <c r="K33" s="534"/>
      <c r="L33" s="534"/>
      <c r="M33" s="457"/>
      <c r="N33" s="348"/>
      <c r="O33" s="687"/>
      <c r="P33" s="687"/>
      <c r="Q33" s="687"/>
    </row>
    <row r="34" spans="2:17" ht="15" thickBot="1" x14ac:dyDescent="0.4">
      <c r="B34" s="550"/>
      <c r="C34" s="534"/>
      <c r="D34" s="457"/>
      <c r="E34" s="457"/>
      <c r="F34" s="457"/>
      <c r="G34" s="457"/>
      <c r="H34" s="457"/>
      <c r="I34" s="457"/>
      <c r="J34" s="457"/>
      <c r="K34" s="457"/>
      <c r="L34" s="457"/>
      <c r="M34" s="457"/>
      <c r="N34" s="106"/>
      <c r="O34" s="687"/>
      <c r="P34" s="687"/>
      <c r="Q34" s="687"/>
    </row>
    <row r="35" spans="2:17" ht="15" thickBot="1" x14ac:dyDescent="0.4">
      <c r="B35" s="1948" t="s">
        <v>1089</v>
      </c>
      <c r="C35" s="1949"/>
      <c r="D35" s="1949"/>
      <c r="E35" s="1949"/>
      <c r="F35" s="1949"/>
      <c r="G35" s="1949"/>
      <c r="H35" s="1949"/>
      <c r="I35" s="1949"/>
      <c r="J35" s="1949"/>
      <c r="K35" s="1949"/>
      <c r="L35" s="1949"/>
      <c r="M35" s="1949"/>
      <c r="N35" s="1950"/>
      <c r="O35" s="687"/>
      <c r="P35" s="687"/>
      <c r="Q35" s="687"/>
    </row>
    <row r="36" spans="2:17" x14ac:dyDescent="0.35">
      <c r="B36" s="1973" t="s">
        <v>1090</v>
      </c>
      <c r="C36" s="1974"/>
      <c r="D36" s="1974"/>
      <c r="E36" s="1974"/>
      <c r="F36" s="1974"/>
      <c r="G36" s="1974"/>
      <c r="H36" s="188"/>
      <c r="I36" s="526"/>
      <c r="J36" s="526"/>
      <c r="K36" s="526"/>
      <c r="L36" s="526"/>
      <c r="M36" s="526"/>
      <c r="N36" s="584"/>
      <c r="O36" s="687"/>
      <c r="P36" s="687"/>
      <c r="Q36" s="687"/>
    </row>
    <row r="37" spans="2:17" x14ac:dyDescent="0.35">
      <c r="B37" s="1951" t="s">
        <v>1091</v>
      </c>
      <c r="C37" s="1952"/>
      <c r="D37" s="1952"/>
      <c r="E37" s="1952"/>
      <c r="F37" s="1952"/>
      <c r="G37" s="1952"/>
      <c r="H37" s="689"/>
      <c r="I37" s="457"/>
      <c r="J37" s="457"/>
      <c r="K37" s="457"/>
      <c r="L37" s="457"/>
      <c r="M37" s="457"/>
      <c r="N37" s="106"/>
      <c r="O37" s="687"/>
      <c r="P37" s="687"/>
      <c r="Q37" s="687"/>
    </row>
    <row r="38" spans="2:17" x14ac:dyDescent="0.35">
      <c r="B38" s="1963" t="s">
        <v>1060</v>
      </c>
      <c r="C38" s="1964"/>
      <c r="D38" s="1964"/>
      <c r="E38" s="1964"/>
      <c r="F38" s="1964"/>
      <c r="G38" s="1710" t="s">
        <v>1061</v>
      </c>
      <c r="H38" s="689"/>
      <c r="I38" s="1946" t="s">
        <v>1092</v>
      </c>
      <c r="J38" s="1930"/>
      <c r="K38" s="1930"/>
      <c r="L38" s="1930"/>
      <c r="M38" s="1930"/>
      <c r="N38" s="1931"/>
      <c r="O38" s="687"/>
      <c r="P38" s="687"/>
      <c r="Q38" s="687"/>
    </row>
    <row r="39" spans="2:17" x14ac:dyDescent="0.35">
      <c r="B39" s="1953" t="s">
        <v>1093</v>
      </c>
      <c r="C39" s="1954"/>
      <c r="D39" s="1954"/>
      <c r="E39" s="1954"/>
      <c r="F39" s="1955"/>
      <c r="G39" s="1709" t="s">
        <v>181</v>
      </c>
      <c r="H39" s="689"/>
      <c r="I39" s="1578">
        <v>0.36</v>
      </c>
      <c r="J39" s="526" t="s">
        <v>1094</v>
      </c>
      <c r="K39" s="526"/>
      <c r="L39" s="526"/>
      <c r="M39" s="526"/>
      <c r="N39" s="663" t="s">
        <v>1095</v>
      </c>
      <c r="O39" s="687"/>
      <c r="P39" s="687"/>
      <c r="Q39" s="687"/>
    </row>
    <row r="40" spans="2:17" x14ac:dyDescent="0.35">
      <c r="B40" s="1953" t="s">
        <v>1096</v>
      </c>
      <c r="C40" s="1954"/>
      <c r="D40" s="1954"/>
      <c r="E40" s="1954"/>
      <c r="F40" s="1955"/>
      <c r="G40" s="1709" t="s">
        <v>181</v>
      </c>
      <c r="H40" s="689"/>
      <c r="I40" s="1538">
        <v>0.01</v>
      </c>
      <c r="J40" s="457" t="s">
        <v>1097</v>
      </c>
      <c r="K40" s="457"/>
      <c r="L40" s="457"/>
      <c r="M40" s="457"/>
      <c r="N40" s="662" t="s">
        <v>1098</v>
      </c>
      <c r="O40" s="687"/>
      <c r="P40" s="687"/>
      <c r="Q40" s="687"/>
    </row>
    <row r="41" spans="2:17" x14ac:dyDescent="0.35">
      <c r="B41" s="1953" t="s">
        <v>1099</v>
      </c>
      <c r="C41" s="1954"/>
      <c r="D41" s="1954"/>
      <c r="E41" s="1954"/>
      <c r="F41" s="1955"/>
      <c r="G41" s="1709" t="s">
        <v>1100</v>
      </c>
      <c r="H41" s="689"/>
      <c r="I41" s="1538">
        <v>4.1859999999999999</v>
      </c>
      <c r="J41" s="457" t="s">
        <v>1101</v>
      </c>
      <c r="K41" s="457"/>
      <c r="L41" s="457"/>
      <c r="M41" s="457"/>
      <c r="N41" s="662" t="s">
        <v>1102</v>
      </c>
      <c r="O41" s="687"/>
      <c r="P41" s="687"/>
      <c r="Q41" s="687"/>
    </row>
    <row r="42" spans="2:17" x14ac:dyDescent="0.35">
      <c r="B42" s="1953" t="s">
        <v>1103</v>
      </c>
      <c r="C42" s="1954"/>
      <c r="D42" s="1954"/>
      <c r="E42" s="1954"/>
      <c r="F42" s="1955"/>
      <c r="G42" s="1709" t="s">
        <v>1100</v>
      </c>
      <c r="H42" s="689"/>
      <c r="I42" s="1579">
        <v>0.9</v>
      </c>
      <c r="J42" s="457" t="s">
        <v>1104</v>
      </c>
      <c r="K42" s="457"/>
      <c r="L42" s="457"/>
      <c r="M42" s="457"/>
      <c r="N42" s="662" t="s">
        <v>1105</v>
      </c>
      <c r="O42" s="687"/>
      <c r="P42" s="687"/>
      <c r="Q42" s="687"/>
    </row>
    <row r="43" spans="2:17" x14ac:dyDescent="0.35">
      <c r="B43" s="1953" t="s">
        <v>1106</v>
      </c>
      <c r="C43" s="1954"/>
      <c r="D43" s="1954"/>
      <c r="E43" s="1954"/>
      <c r="F43" s="1955"/>
      <c r="G43" s="1709" t="s">
        <v>1107</v>
      </c>
      <c r="H43" s="689"/>
      <c r="I43" s="1538">
        <v>64.400000000000006</v>
      </c>
      <c r="J43" s="457" t="s">
        <v>1108</v>
      </c>
      <c r="K43" s="457"/>
      <c r="L43" s="457"/>
      <c r="M43" s="457"/>
      <c r="N43" s="662" t="s">
        <v>1109</v>
      </c>
      <c r="O43" s="687"/>
      <c r="P43" s="687"/>
      <c r="Q43" s="687"/>
    </row>
    <row r="44" spans="2:17" x14ac:dyDescent="0.35">
      <c r="B44" s="1953" t="s">
        <v>1110</v>
      </c>
      <c r="C44" s="1954"/>
      <c r="D44" s="1954"/>
      <c r="E44" s="1954"/>
      <c r="F44" s="1955"/>
      <c r="G44" s="1709" t="s">
        <v>1107</v>
      </c>
      <c r="H44" s="689"/>
      <c r="I44" s="1538">
        <v>40</v>
      </c>
      <c r="J44" s="457" t="s">
        <v>1111</v>
      </c>
      <c r="K44" s="457"/>
      <c r="L44" s="457"/>
      <c r="M44" s="457"/>
      <c r="N44" s="662" t="s">
        <v>1112</v>
      </c>
      <c r="O44" s="687"/>
      <c r="P44" s="687"/>
      <c r="Q44" s="687"/>
    </row>
    <row r="45" spans="2:17" x14ac:dyDescent="0.35">
      <c r="B45" s="1953" t="s">
        <v>1113</v>
      </c>
      <c r="C45" s="1954"/>
      <c r="D45" s="1954"/>
      <c r="E45" s="1954"/>
      <c r="F45" s="1955"/>
      <c r="G45" s="1709" t="s">
        <v>1068</v>
      </c>
      <c r="H45" s="689"/>
      <c r="I45" s="1538">
        <v>4</v>
      </c>
      <c r="J45" s="457" t="s">
        <v>1114</v>
      </c>
      <c r="K45" s="457"/>
      <c r="L45" s="457"/>
      <c r="M45" s="457"/>
      <c r="N45" s="662" t="s">
        <v>1115</v>
      </c>
      <c r="O45" s="687"/>
      <c r="P45" s="687"/>
      <c r="Q45" s="687"/>
    </row>
    <row r="46" spans="2:17" x14ac:dyDescent="0.35">
      <c r="B46" s="1953" t="s">
        <v>1116</v>
      </c>
      <c r="C46" s="1954"/>
      <c r="D46" s="1954"/>
      <c r="E46" s="1954"/>
      <c r="F46" s="1955"/>
      <c r="G46" s="1709" t="s">
        <v>168</v>
      </c>
      <c r="H46" s="689"/>
      <c r="I46" s="1538">
        <v>3</v>
      </c>
      <c r="J46" s="457" t="s">
        <v>1117</v>
      </c>
      <c r="K46" s="457"/>
      <c r="L46" s="457"/>
      <c r="M46" s="457"/>
      <c r="N46" s="662" t="s">
        <v>1118</v>
      </c>
      <c r="O46" s="687"/>
      <c r="P46" s="687"/>
      <c r="Q46" s="687"/>
    </row>
    <row r="47" spans="2:17" x14ac:dyDescent="0.35">
      <c r="B47" s="1953" t="s">
        <v>1119</v>
      </c>
      <c r="C47" s="1954"/>
      <c r="D47" s="1954"/>
      <c r="E47" s="1954"/>
      <c r="F47" s="1955"/>
      <c r="G47" s="1709" t="s">
        <v>658</v>
      </c>
      <c r="H47" s="689"/>
      <c r="I47" s="1538">
        <v>2.5</v>
      </c>
      <c r="J47" s="457" t="s">
        <v>1120</v>
      </c>
      <c r="K47" s="457"/>
      <c r="L47" s="457"/>
      <c r="M47" s="457"/>
      <c r="N47" s="662" t="s">
        <v>1121</v>
      </c>
      <c r="O47" s="687"/>
      <c r="P47" s="687"/>
      <c r="Q47" s="687"/>
    </row>
    <row r="48" spans="2:17" x14ac:dyDescent="0.35">
      <c r="B48" s="1953" t="s">
        <v>1122</v>
      </c>
      <c r="C48" s="1954"/>
      <c r="D48" s="1954"/>
      <c r="E48" s="1954"/>
      <c r="F48" s="1955"/>
      <c r="G48" s="1709" t="s">
        <v>1123</v>
      </c>
      <c r="H48" s="689"/>
      <c r="I48" s="1538">
        <v>2.7999999999999998E-4</v>
      </c>
      <c r="J48" s="457" t="s">
        <v>1124</v>
      </c>
      <c r="K48" s="457"/>
      <c r="L48" s="457"/>
      <c r="M48" s="457"/>
      <c r="N48" s="662" t="s">
        <v>1125</v>
      </c>
      <c r="O48" s="687"/>
      <c r="P48" s="687"/>
      <c r="Q48" s="687"/>
    </row>
    <row r="49" spans="2:17" x14ac:dyDescent="0.35">
      <c r="B49" s="1956" t="s">
        <v>1126</v>
      </c>
      <c r="C49" s="1957"/>
      <c r="D49" s="1957"/>
      <c r="E49" s="1957"/>
      <c r="F49" s="1957"/>
      <c r="G49" s="1958" t="s">
        <v>1127</v>
      </c>
      <c r="H49" s="689"/>
      <c r="I49" s="1538">
        <v>0.59536</v>
      </c>
      <c r="J49" s="457" t="s">
        <v>1128</v>
      </c>
      <c r="K49" s="457"/>
      <c r="L49" s="457"/>
      <c r="M49" s="457"/>
      <c r="N49" s="662" t="s">
        <v>1129</v>
      </c>
      <c r="O49" s="687"/>
      <c r="P49" s="687"/>
      <c r="Q49" s="687"/>
    </row>
    <row r="50" spans="2:17" x14ac:dyDescent="0.35">
      <c r="B50" s="1956"/>
      <c r="C50" s="1957"/>
      <c r="D50" s="1957"/>
      <c r="E50" s="1957"/>
      <c r="F50" s="1957"/>
      <c r="G50" s="1958"/>
      <c r="H50" s="689"/>
      <c r="I50" s="1580">
        <v>0.9</v>
      </c>
      <c r="J50" s="246" t="s">
        <v>1130</v>
      </c>
      <c r="K50" s="246"/>
      <c r="L50" s="246"/>
      <c r="M50" s="246"/>
      <c r="N50" s="664" t="s">
        <v>1131</v>
      </c>
      <c r="O50" s="687"/>
      <c r="P50" s="687"/>
      <c r="Q50" s="687"/>
    </row>
    <row r="51" spans="2:17" x14ac:dyDescent="0.35">
      <c r="B51" s="1953" t="s">
        <v>1132</v>
      </c>
      <c r="C51" s="1954"/>
      <c r="D51" s="1954"/>
      <c r="E51" s="1954"/>
      <c r="F51" s="1955"/>
      <c r="G51" s="1709" t="s">
        <v>1065</v>
      </c>
      <c r="H51" s="689"/>
      <c r="I51" s="1581">
        <f>((((I39*I41*(I43-I44))+(I40*I42*(I43-I44)))*((1+(I46*I45))/I47)*I48*I49*I50))</f>
        <v>2.8857659558547466E-2</v>
      </c>
      <c r="J51" s="457" t="s">
        <v>1133</v>
      </c>
      <c r="K51" s="457"/>
      <c r="L51" s="457"/>
      <c r="M51" s="457"/>
      <c r="N51" s="106"/>
      <c r="O51" s="687"/>
      <c r="P51" s="687"/>
      <c r="Q51" s="687"/>
    </row>
    <row r="52" spans="2:17" x14ac:dyDescent="0.35">
      <c r="B52" s="1953" t="s">
        <v>1134</v>
      </c>
      <c r="C52" s="1954"/>
      <c r="D52" s="1954"/>
      <c r="E52" s="1954"/>
      <c r="F52" s="1955"/>
      <c r="G52" s="1709" t="s">
        <v>1135</v>
      </c>
      <c r="H52" s="689"/>
      <c r="I52" s="244">
        <v>6</v>
      </c>
      <c r="J52" s="457" t="s">
        <v>1136</v>
      </c>
      <c r="K52" s="457"/>
      <c r="L52" s="457"/>
      <c r="M52" s="457"/>
      <c r="N52" s="106"/>
      <c r="O52" s="687"/>
      <c r="P52" s="687"/>
      <c r="Q52" s="687"/>
    </row>
    <row r="53" spans="2:17" x14ac:dyDescent="0.35">
      <c r="B53" s="49"/>
      <c r="C53" s="534"/>
      <c r="D53" s="534"/>
      <c r="E53" s="534"/>
      <c r="F53" s="534"/>
      <c r="G53" s="190"/>
      <c r="H53" s="689"/>
      <c r="I53" s="1582">
        <f>I51*I52</f>
        <v>0.1731459573512848</v>
      </c>
      <c r="J53" s="246" t="s">
        <v>1137</v>
      </c>
      <c r="K53" s="246"/>
      <c r="L53" s="246"/>
      <c r="M53" s="246"/>
      <c r="N53" s="549"/>
      <c r="O53" s="687"/>
      <c r="P53" s="687"/>
      <c r="Q53" s="687"/>
    </row>
    <row r="54" spans="2:17" x14ac:dyDescent="0.35">
      <c r="B54" s="49"/>
      <c r="C54" s="689"/>
      <c r="D54" s="689"/>
      <c r="E54" s="689"/>
      <c r="F54" s="689"/>
      <c r="G54" s="689"/>
      <c r="H54" s="534"/>
      <c r="I54" s="689"/>
      <c r="J54" s="689"/>
      <c r="K54" s="689"/>
      <c r="L54" s="457"/>
      <c r="M54" s="457"/>
      <c r="N54" s="106"/>
      <c r="O54" s="687"/>
      <c r="P54" s="687"/>
      <c r="Q54" s="687"/>
    </row>
    <row r="55" spans="2:17" x14ac:dyDescent="0.35">
      <c r="B55" s="538">
        <f>B30</f>
        <v>9093333.333333334</v>
      </c>
      <c r="C55" s="457" t="str">
        <f>C30</f>
        <v>Bottled and can beer shipped (6-packs)</v>
      </c>
      <c r="D55" s="457"/>
      <c r="E55" s="457"/>
      <c r="F55" s="457"/>
      <c r="G55" s="457"/>
      <c r="H55" s="457"/>
      <c r="I55" s="689"/>
      <c r="J55" s="689"/>
      <c r="K55" s="689"/>
      <c r="L55" s="457"/>
      <c r="M55" s="457"/>
      <c r="N55" s="106"/>
      <c r="O55" s="687"/>
      <c r="P55" s="687"/>
      <c r="Q55" s="687"/>
    </row>
    <row r="56" spans="2:17" ht="15" thickBot="1" x14ac:dyDescent="0.4">
      <c r="B56" s="665">
        <f>I53</f>
        <v>0.1731459573512848</v>
      </c>
      <c r="C56" s="457" t="str">
        <f>J53</f>
        <v>Cooler/Refrig Emissions Emission Facotor (kg CO2e/6-pack)</v>
      </c>
      <c r="D56" s="457"/>
      <c r="E56" s="457"/>
      <c r="F56" s="457"/>
      <c r="G56" s="457"/>
      <c r="H56" s="457"/>
      <c r="I56" s="689"/>
      <c r="J56" s="689"/>
      <c r="K56" s="689"/>
      <c r="L56" s="457"/>
      <c r="M56" s="457"/>
      <c r="N56" s="106"/>
      <c r="O56" s="687"/>
      <c r="P56" s="687"/>
      <c r="Q56" s="687"/>
    </row>
    <row r="57" spans="2:17" ht="15" thickBot="1" x14ac:dyDescent="0.4">
      <c r="B57" s="553">
        <f>B55*B56</f>
        <v>1574473.9055143499</v>
      </c>
      <c r="C57" s="554" t="s">
        <v>1138</v>
      </c>
      <c r="D57" s="281"/>
      <c r="E57" s="281"/>
      <c r="F57" s="546"/>
      <c r="G57" s="457"/>
      <c r="H57" s="457"/>
      <c r="I57" s="689"/>
      <c r="J57" s="689"/>
      <c r="K57" s="689"/>
      <c r="L57" s="457"/>
      <c r="M57" s="457"/>
      <c r="N57" s="106"/>
      <c r="O57" s="687"/>
      <c r="P57" s="687"/>
      <c r="Q57" s="687"/>
    </row>
    <row r="58" spans="2:17" ht="15" thickBot="1" x14ac:dyDescent="0.4">
      <c r="B58" s="550">
        <f>'Brewery-Control Data'!$H$10</f>
        <v>211225.97753999999</v>
      </c>
      <c r="C58" s="534" t="s">
        <v>276</v>
      </c>
      <c r="D58" s="457"/>
      <c r="E58" s="594"/>
      <c r="F58" s="457"/>
      <c r="G58" s="457"/>
      <c r="H58" s="457"/>
      <c r="I58" s="689"/>
      <c r="J58" s="689"/>
      <c r="K58" s="689"/>
      <c r="L58" s="457"/>
      <c r="M58" s="457"/>
      <c r="N58" s="106"/>
      <c r="O58" s="687"/>
      <c r="P58" s="687"/>
      <c r="Q58" s="687"/>
    </row>
    <row r="59" spans="2:17" ht="15" thickBot="1" x14ac:dyDescent="0.4">
      <c r="B59" s="619">
        <f>B57/B58</f>
        <v>7.4539785487142121</v>
      </c>
      <c r="C59" s="556" t="s">
        <v>1139</v>
      </c>
      <c r="D59" s="437"/>
      <c r="E59" s="437"/>
      <c r="F59" s="329"/>
      <c r="G59" s="246"/>
      <c r="H59" s="246"/>
      <c r="I59" s="246"/>
      <c r="J59" s="246"/>
      <c r="K59" s="246"/>
      <c r="L59" s="246"/>
      <c r="M59" s="246"/>
      <c r="N59" s="549"/>
      <c r="O59" s="687"/>
      <c r="P59" s="687"/>
      <c r="Q59" s="687"/>
    </row>
    <row r="60" spans="2:17" ht="15" thickBot="1" x14ac:dyDescent="0.4">
      <c r="B60" s="558"/>
      <c r="C60" s="534"/>
      <c r="D60" s="457"/>
      <c r="E60" s="457"/>
      <c r="F60" s="457"/>
      <c r="G60" s="457"/>
      <c r="H60" s="457"/>
      <c r="I60" s="457"/>
      <c r="J60" s="457"/>
      <c r="K60" s="457"/>
      <c r="L60" s="457"/>
      <c r="M60" s="457"/>
      <c r="N60" s="106"/>
      <c r="O60" s="687"/>
      <c r="P60" s="687"/>
      <c r="Q60" s="687"/>
    </row>
    <row r="61" spans="2:17" ht="15" thickBot="1" x14ac:dyDescent="0.4">
      <c r="B61" s="1836" t="s">
        <v>1140</v>
      </c>
      <c r="C61" s="1839"/>
      <c r="D61" s="1839"/>
      <c r="E61" s="1839"/>
      <c r="F61" s="1839"/>
      <c r="G61" s="1837"/>
      <c r="H61" s="457"/>
      <c r="I61" s="321"/>
      <c r="J61" s="321"/>
      <c r="K61" s="321"/>
      <c r="L61" s="321"/>
      <c r="M61" s="321"/>
      <c r="N61" s="106"/>
      <c r="O61" s="687"/>
      <c r="P61" s="687"/>
      <c r="Q61" s="687"/>
    </row>
    <row r="62" spans="2:17" ht="15" thickBot="1" x14ac:dyDescent="0.4">
      <c r="B62" s="553">
        <f>B31+B57</f>
        <v>1927362.6514231476</v>
      </c>
      <c r="C62" s="554" t="s">
        <v>1141</v>
      </c>
      <c r="D62" s="555"/>
      <c r="E62" s="493"/>
      <c r="F62" s="281"/>
      <c r="G62" s="546"/>
      <c r="H62" s="457"/>
      <c r="I62" s="321"/>
      <c r="J62" s="321"/>
      <c r="K62" s="321"/>
      <c r="L62" s="321"/>
      <c r="M62" s="321"/>
      <c r="N62" s="582"/>
      <c r="O62" s="687"/>
      <c r="P62" s="687"/>
      <c r="Q62" s="687"/>
    </row>
    <row r="63" spans="2:17" ht="15" thickBot="1" x14ac:dyDescent="0.4">
      <c r="B63" s="550">
        <f>'Brewery-Control Data'!$H$10</f>
        <v>211225.97753999999</v>
      </c>
      <c r="C63" s="534" t="s">
        <v>276</v>
      </c>
      <c r="D63" s="190"/>
      <c r="E63" s="108"/>
      <c r="F63" s="457"/>
      <c r="G63" s="457"/>
      <c r="H63" s="457"/>
      <c r="I63" s="321"/>
      <c r="J63" s="321"/>
      <c r="K63" s="321"/>
      <c r="L63" s="321"/>
      <c r="M63" s="321"/>
      <c r="N63" s="582"/>
      <c r="O63" s="687"/>
      <c r="P63" s="687"/>
      <c r="Q63" s="687"/>
    </row>
    <row r="64" spans="2:17" ht="15" thickBot="1" x14ac:dyDescent="0.4">
      <c r="B64" s="619">
        <f>B62/B63</f>
        <v>9.1246478007571863</v>
      </c>
      <c r="C64" s="556" t="s">
        <v>1142</v>
      </c>
      <c r="D64" s="557"/>
      <c r="E64" s="603"/>
      <c r="F64" s="437"/>
      <c r="G64" s="329"/>
      <c r="H64" s="543"/>
      <c r="I64" s="401"/>
      <c r="J64" s="401"/>
      <c r="K64" s="401"/>
      <c r="L64" s="401"/>
      <c r="M64" s="401"/>
      <c r="N64" s="592"/>
      <c r="O64" s="687"/>
      <c r="P64" s="687"/>
      <c r="Q64" s="687"/>
    </row>
    <row r="65" spans="2:17" ht="15" thickBot="1" x14ac:dyDescent="0.4">
      <c r="B65" s="687"/>
      <c r="C65" s="687"/>
      <c r="D65" s="687"/>
      <c r="E65" s="687"/>
      <c r="F65" s="687"/>
      <c r="G65" s="687"/>
      <c r="H65" s="457"/>
      <c r="I65" s="226"/>
      <c r="J65" s="226"/>
      <c r="K65" s="226"/>
      <c r="L65" s="226"/>
      <c r="M65" s="226"/>
      <c r="N65" s="226"/>
      <c r="O65" s="687"/>
      <c r="P65" s="687"/>
      <c r="Q65" s="687"/>
    </row>
    <row r="66" spans="2:17" ht="15" thickBot="1" x14ac:dyDescent="0.4">
      <c r="B66" s="1841" t="s">
        <v>1143</v>
      </c>
      <c r="C66" s="1842"/>
      <c r="D66" s="1842"/>
      <c r="E66" s="1842"/>
      <c r="F66" s="1842"/>
      <c r="G66" s="1842"/>
      <c r="H66" s="1842"/>
      <c r="I66" s="1842"/>
      <c r="J66" s="1842"/>
      <c r="K66" s="1842"/>
      <c r="L66" s="1842"/>
      <c r="M66" s="1842"/>
      <c r="N66" s="1843"/>
      <c r="O66" s="687"/>
      <c r="P66" s="687"/>
      <c r="Q66" s="687"/>
    </row>
    <row r="67" spans="2:17" ht="15" thickBot="1" x14ac:dyDescent="0.4">
      <c r="B67" s="1948" t="s">
        <v>1144</v>
      </c>
      <c r="C67" s="1949"/>
      <c r="D67" s="1949"/>
      <c r="E67" s="1949"/>
      <c r="F67" s="1949"/>
      <c r="G67" s="1949"/>
      <c r="H67" s="1949"/>
      <c r="I67" s="1949"/>
      <c r="J67" s="1949"/>
      <c r="K67" s="1949"/>
      <c r="L67" s="1949"/>
      <c r="M67" s="1949"/>
      <c r="N67" s="1950"/>
      <c r="O67" s="687"/>
      <c r="P67" s="687"/>
      <c r="Q67" s="687"/>
    </row>
    <row r="68" spans="2:17" x14ac:dyDescent="0.35">
      <c r="B68" s="1971" t="s">
        <v>1145</v>
      </c>
      <c r="C68" s="1972"/>
      <c r="D68" s="1972"/>
      <c r="E68" s="1972"/>
      <c r="F68" s="1972"/>
      <c r="G68" s="1972"/>
      <c r="H68" s="1494"/>
      <c r="I68" s="689"/>
      <c r="J68" s="689"/>
      <c r="K68" s="689"/>
      <c r="L68" s="689"/>
      <c r="M68" s="689"/>
      <c r="N68" s="776"/>
      <c r="O68" s="687"/>
      <c r="P68" s="687"/>
      <c r="Q68" s="687"/>
    </row>
    <row r="69" spans="2:17" x14ac:dyDescent="0.35">
      <c r="B69" s="1951" t="s">
        <v>1059</v>
      </c>
      <c r="C69" s="1952"/>
      <c r="D69" s="1952"/>
      <c r="E69" s="1952"/>
      <c r="F69" s="1952"/>
      <c r="G69" s="1952"/>
      <c r="H69" s="1494"/>
      <c r="I69" s="689"/>
      <c r="J69" s="689"/>
      <c r="K69" s="689"/>
      <c r="L69" s="689"/>
      <c r="M69" s="689"/>
      <c r="N69" s="20"/>
      <c r="O69" s="687"/>
      <c r="P69" s="687"/>
      <c r="Q69" s="687"/>
    </row>
    <row r="70" spans="2:17" x14ac:dyDescent="0.35">
      <c r="B70" s="1963" t="s">
        <v>1060</v>
      </c>
      <c r="C70" s="1964"/>
      <c r="D70" s="1964"/>
      <c r="E70" s="1964"/>
      <c r="F70" s="1964"/>
      <c r="G70" s="1710" t="s">
        <v>1061</v>
      </c>
      <c r="H70" s="1494"/>
      <c r="I70" s="689"/>
      <c r="J70" s="689"/>
      <c r="K70" s="689"/>
      <c r="L70" s="689"/>
      <c r="M70" s="689"/>
      <c r="N70" s="20"/>
      <c r="O70" s="687"/>
      <c r="P70" s="687"/>
      <c r="Q70" s="687"/>
    </row>
    <row r="71" spans="2:17" x14ac:dyDescent="0.35">
      <c r="B71" s="1968" t="s">
        <v>1062</v>
      </c>
      <c r="C71" s="1969"/>
      <c r="D71" s="1969"/>
      <c r="E71" s="1969"/>
      <c r="F71" s="1969"/>
      <c r="G71" s="565" t="s">
        <v>1063</v>
      </c>
      <c r="H71" s="1494"/>
      <c r="I71" s="689"/>
      <c r="J71" s="689"/>
      <c r="K71" s="689"/>
      <c r="L71" s="689"/>
      <c r="M71" s="689"/>
      <c r="N71" s="20"/>
      <c r="O71" s="687"/>
      <c r="P71" s="687"/>
      <c r="Q71" s="687"/>
    </row>
    <row r="72" spans="2:17" x14ac:dyDescent="0.35">
      <c r="B72" s="1968" t="s">
        <v>1064</v>
      </c>
      <c r="C72" s="1969"/>
      <c r="D72" s="1969"/>
      <c r="E72" s="1969"/>
      <c r="F72" s="1969"/>
      <c r="G72" s="565" t="s">
        <v>1065</v>
      </c>
      <c r="H72" s="1494"/>
      <c r="I72" s="689"/>
      <c r="J72" s="689"/>
      <c r="K72" s="689"/>
      <c r="L72" s="689"/>
      <c r="M72" s="689"/>
      <c r="N72" s="20"/>
      <c r="O72" s="687"/>
      <c r="P72" s="687"/>
      <c r="Q72" s="687"/>
    </row>
    <row r="73" spans="2:17" x14ac:dyDescent="0.35">
      <c r="B73" s="1968" t="s">
        <v>1066</v>
      </c>
      <c r="C73" s="1969"/>
      <c r="D73" s="1969"/>
      <c r="E73" s="1969"/>
      <c r="F73" s="1969"/>
      <c r="G73" s="565" t="s">
        <v>1065</v>
      </c>
      <c r="H73" s="1494"/>
      <c r="I73" s="689"/>
      <c r="J73" s="689"/>
      <c r="K73" s="689"/>
      <c r="L73" s="689"/>
      <c r="M73" s="689"/>
      <c r="N73" s="20"/>
      <c r="O73" s="687"/>
      <c r="P73" s="687"/>
      <c r="Q73" s="687"/>
    </row>
    <row r="74" spans="2:17" x14ac:dyDescent="0.35">
      <c r="B74" s="1968" t="s">
        <v>1067</v>
      </c>
      <c r="C74" s="1969"/>
      <c r="D74" s="1969"/>
      <c r="E74" s="1969"/>
      <c r="F74" s="1969"/>
      <c r="G74" s="565" t="s">
        <v>1068</v>
      </c>
      <c r="H74" s="1494"/>
      <c r="I74" s="689"/>
      <c r="J74" s="689"/>
      <c r="K74" s="689"/>
      <c r="L74" s="689"/>
      <c r="M74" s="689"/>
      <c r="N74" s="20"/>
      <c r="O74" s="687"/>
      <c r="P74" s="687"/>
      <c r="Q74" s="687"/>
    </row>
    <row r="75" spans="2:17" x14ac:dyDescent="0.35">
      <c r="B75" s="1959" t="s">
        <v>1069</v>
      </c>
      <c r="C75" s="1960"/>
      <c r="D75" s="1960"/>
      <c r="E75" s="1960"/>
      <c r="F75" s="1960"/>
      <c r="G75" s="1970" t="s">
        <v>1070</v>
      </c>
      <c r="H75" s="1494"/>
      <c r="I75" s="689"/>
      <c r="J75" s="689"/>
      <c r="K75" s="689"/>
      <c r="L75" s="689"/>
      <c r="M75" s="689"/>
      <c r="N75" s="20"/>
      <c r="O75" s="687"/>
      <c r="P75" s="687"/>
      <c r="Q75" s="687"/>
    </row>
    <row r="76" spans="2:17" x14ac:dyDescent="0.35">
      <c r="B76" s="1959"/>
      <c r="C76" s="1960"/>
      <c r="D76" s="1960"/>
      <c r="E76" s="1960"/>
      <c r="F76" s="1960"/>
      <c r="G76" s="1970"/>
      <c r="H76" s="1494"/>
      <c r="I76" s="689"/>
      <c r="J76" s="689"/>
      <c r="K76" s="689"/>
      <c r="L76" s="689"/>
      <c r="M76" s="689"/>
      <c r="N76" s="20"/>
      <c r="O76" s="687"/>
      <c r="P76" s="687"/>
      <c r="Q76" s="687"/>
    </row>
    <row r="77" spans="2:17" x14ac:dyDescent="0.35">
      <c r="B77" s="560"/>
      <c r="C77" s="1494"/>
      <c r="D77" s="1494"/>
      <c r="E77" s="1494"/>
      <c r="F77" s="1494"/>
      <c r="G77" s="1494"/>
      <c r="H77" s="1494"/>
      <c r="I77" s="689"/>
      <c r="J77" s="689"/>
      <c r="K77" s="689"/>
      <c r="L77" s="689"/>
      <c r="M77" s="689"/>
      <c r="N77" s="20"/>
      <c r="O77" s="687"/>
      <c r="P77" s="687"/>
      <c r="Q77" s="687"/>
    </row>
    <row r="78" spans="2:17" x14ac:dyDescent="0.35">
      <c r="B78" s="1929" t="s">
        <v>1146</v>
      </c>
      <c r="C78" s="1930"/>
      <c r="D78" s="1930"/>
      <c r="E78" s="1930"/>
      <c r="F78" s="1930"/>
      <c r="G78" s="1961"/>
      <c r="H78" s="689"/>
      <c r="I78" s="689"/>
      <c r="J78" s="689"/>
      <c r="K78" s="689"/>
      <c r="L78" s="689"/>
      <c r="M78" s="689"/>
      <c r="N78" s="20"/>
      <c r="O78" s="687"/>
      <c r="P78" s="687"/>
      <c r="Q78" s="687"/>
    </row>
    <row r="79" spans="2:17" x14ac:dyDescent="0.35">
      <c r="B79" s="924">
        <f>'Ref-Retail Inputs'!A86</f>
        <v>345.20547945205482</v>
      </c>
      <c r="C79" s="577" t="s">
        <v>1147</v>
      </c>
      <c r="D79" s="192"/>
      <c r="E79" s="526"/>
      <c r="F79" s="526"/>
      <c r="G79" s="660" t="s">
        <v>1073</v>
      </c>
      <c r="H79" s="457"/>
      <c r="I79" s="689"/>
      <c r="J79" s="689"/>
      <c r="K79" s="689"/>
      <c r="L79" s="689"/>
      <c r="M79" s="689"/>
      <c r="N79" s="20"/>
      <c r="O79" s="687"/>
      <c r="P79" s="87"/>
      <c r="Q79" s="87"/>
    </row>
    <row r="80" spans="2:17" x14ac:dyDescent="0.35">
      <c r="B80" s="1234">
        <f>'Ref-Retail Inputs'!A94</f>
        <v>1.71875E-3</v>
      </c>
      <c r="C80" s="598" t="s">
        <v>1148</v>
      </c>
      <c r="D80" s="108"/>
      <c r="E80" s="108"/>
      <c r="F80" s="108"/>
      <c r="G80" s="657" t="s">
        <v>1075</v>
      </c>
      <c r="H80" s="457"/>
      <c r="I80" s="689"/>
      <c r="J80" s="689"/>
      <c r="K80" s="689"/>
      <c r="L80" s="689"/>
      <c r="M80" s="689"/>
      <c r="N80" s="20"/>
      <c r="O80" s="687"/>
      <c r="P80" s="87"/>
      <c r="Q80" s="87"/>
    </row>
    <row r="81" spans="2:17" x14ac:dyDescent="0.35">
      <c r="B81" s="623">
        <f>'Ref-Retail Inputs'!A98</f>
        <v>0.33333333333333331</v>
      </c>
      <c r="C81" s="598" t="s">
        <v>1149</v>
      </c>
      <c r="D81" s="108"/>
      <c r="E81" s="108"/>
      <c r="F81" s="108"/>
      <c r="G81" s="657" t="s">
        <v>330</v>
      </c>
      <c r="H81" s="457"/>
      <c r="I81" s="689"/>
      <c r="J81" s="689"/>
      <c r="K81" s="689"/>
      <c r="L81" s="689"/>
      <c r="M81" s="689"/>
      <c r="N81" s="20"/>
      <c r="O81" s="687"/>
      <c r="P81" s="926"/>
      <c r="Q81" s="87"/>
    </row>
    <row r="82" spans="2:17" x14ac:dyDescent="0.35">
      <c r="B82" s="654">
        <f>'Ref-Retail Inputs'!A100</f>
        <v>4</v>
      </c>
      <c r="C82" s="598" t="s">
        <v>1150</v>
      </c>
      <c r="D82" s="108"/>
      <c r="E82" s="108"/>
      <c r="F82" s="108"/>
      <c r="G82" s="657" t="s">
        <v>1078</v>
      </c>
      <c r="H82" s="457"/>
      <c r="I82" s="689"/>
      <c r="J82" s="689"/>
      <c r="K82" s="689"/>
      <c r="L82" s="689"/>
      <c r="M82" s="689"/>
      <c r="N82" s="20"/>
      <c r="O82" s="687"/>
      <c r="P82" s="926"/>
      <c r="Q82" s="87"/>
    </row>
    <row r="83" spans="2:17" x14ac:dyDescent="0.35">
      <c r="B83" s="930">
        <f>'Ref-Retail Inputs'!A102</f>
        <v>0.59536</v>
      </c>
      <c r="C83" s="598" t="str">
        <f>C23</f>
        <v>Avg life cycle emissions of grid connected electricity in US (kg CO2e/kWh)</v>
      </c>
      <c r="D83" s="108"/>
      <c r="E83" s="108"/>
      <c r="F83" s="108"/>
      <c r="G83" s="657" t="s">
        <v>1080</v>
      </c>
      <c r="H83" s="457"/>
      <c r="I83" s="689"/>
      <c r="J83" s="689"/>
      <c r="K83" s="689"/>
      <c r="L83" s="689"/>
      <c r="M83" s="689"/>
      <c r="N83" s="20"/>
      <c r="O83" s="687"/>
      <c r="P83" s="926"/>
      <c r="Q83" s="87"/>
    </row>
    <row r="84" spans="2:17" x14ac:dyDescent="0.35">
      <c r="B84" s="1583">
        <f>B79*B80*B81*B82*B83</f>
        <v>0.47098684931506846</v>
      </c>
      <c r="C84" s="576" t="s">
        <v>1151</v>
      </c>
      <c r="D84" s="574"/>
      <c r="E84" s="547"/>
      <c r="F84" s="547"/>
      <c r="G84" s="649"/>
      <c r="H84" s="457"/>
      <c r="I84" s="689"/>
      <c r="J84" s="689"/>
      <c r="K84" s="689"/>
      <c r="L84" s="689"/>
      <c r="M84" s="689"/>
      <c r="N84" s="20"/>
      <c r="O84" s="687"/>
      <c r="P84" s="927"/>
      <c r="Q84" s="928"/>
    </row>
    <row r="85" spans="2:17" x14ac:dyDescent="0.35">
      <c r="B85" s="458"/>
      <c r="C85" s="457"/>
      <c r="D85" s="457"/>
      <c r="E85" s="457"/>
      <c r="F85" s="457"/>
      <c r="G85" s="457"/>
      <c r="H85" s="457"/>
      <c r="I85" s="689"/>
      <c r="J85" s="689"/>
      <c r="K85" s="689"/>
      <c r="L85" s="689"/>
      <c r="M85" s="689"/>
      <c r="N85" s="20"/>
      <c r="O85" s="687"/>
      <c r="P85" s="87"/>
      <c r="Q85" s="87"/>
    </row>
    <row r="86" spans="2:17" x14ac:dyDescent="0.35">
      <c r="B86" s="504">
        <v>15000</v>
      </c>
      <c r="C86" s="457" t="s">
        <v>1152</v>
      </c>
      <c r="D86" s="457"/>
      <c r="E86" s="457"/>
      <c r="F86" s="457"/>
      <c r="G86" s="457"/>
      <c r="H86" s="457"/>
      <c r="I86" s="689"/>
      <c r="J86" s="689"/>
      <c r="K86" s="689"/>
      <c r="L86" s="689"/>
      <c r="M86" s="689"/>
      <c r="N86" s="20"/>
      <c r="O86" s="687"/>
      <c r="P86" s="687"/>
      <c r="Q86" s="687"/>
    </row>
    <row r="87" spans="2:17" x14ac:dyDescent="0.35">
      <c r="B87" s="925">
        <v>0.5</v>
      </c>
      <c r="C87" s="457" t="s">
        <v>1153</v>
      </c>
      <c r="D87" s="457"/>
      <c r="E87" s="457"/>
      <c r="F87" s="457"/>
      <c r="G87" s="457"/>
      <c r="H87" s="457"/>
      <c r="I87" s="689"/>
      <c r="J87" s="689"/>
      <c r="K87" s="689"/>
      <c r="L87" s="689"/>
      <c r="M87" s="689"/>
      <c r="N87" s="20"/>
      <c r="O87" s="687"/>
      <c r="P87" s="687"/>
      <c r="Q87" s="687"/>
    </row>
    <row r="88" spans="2:17" x14ac:dyDescent="0.35">
      <c r="B88" s="539">
        <f>B86/B87</f>
        <v>30000</v>
      </c>
      <c r="C88" s="457" t="s">
        <v>1154</v>
      </c>
      <c r="D88" s="457"/>
      <c r="E88" s="457"/>
      <c r="F88" s="457"/>
      <c r="G88" s="457"/>
      <c r="H88" s="457"/>
      <c r="I88" s="689"/>
      <c r="J88" s="689"/>
      <c r="K88" s="689"/>
      <c r="L88" s="689"/>
      <c r="M88" s="689"/>
      <c r="N88" s="106"/>
      <c r="O88" s="687"/>
      <c r="P88" s="687"/>
      <c r="Q88" s="687"/>
    </row>
    <row r="89" spans="2:17" ht="15" thickBot="1" x14ac:dyDescent="0.4">
      <c r="B89" s="931">
        <f>B84</f>
        <v>0.47098684931506846</v>
      </c>
      <c r="C89" s="457" t="str">
        <f>C84</f>
        <v>On-Premise Load Emissions Emission Factor - Keg (kg CO2e/keg)</v>
      </c>
      <c r="D89" s="457"/>
      <c r="E89" s="457"/>
      <c r="F89" s="457"/>
      <c r="G89" s="457"/>
      <c r="H89" s="457"/>
      <c r="I89" s="689"/>
      <c r="J89" s="689"/>
      <c r="K89" s="689"/>
      <c r="L89" s="689"/>
      <c r="M89" s="689"/>
      <c r="N89" s="106"/>
      <c r="O89" s="687"/>
      <c r="P89" s="687"/>
      <c r="Q89" s="687"/>
    </row>
    <row r="90" spans="2:17" ht="15" thickBot="1" x14ac:dyDescent="0.4">
      <c r="B90" s="553">
        <f>B89*B88</f>
        <v>14129.605479452053</v>
      </c>
      <c r="C90" s="554" t="s">
        <v>1155</v>
      </c>
      <c r="D90" s="281"/>
      <c r="E90" s="546"/>
      <c r="F90" s="457"/>
      <c r="G90" s="457"/>
      <c r="H90" s="457"/>
      <c r="I90" s="689"/>
      <c r="J90" s="689"/>
      <c r="K90" s="689"/>
      <c r="L90" s="689"/>
      <c r="M90" s="689"/>
      <c r="N90" s="106"/>
      <c r="O90" s="687"/>
      <c r="P90" s="687"/>
      <c r="Q90" s="687"/>
    </row>
    <row r="91" spans="2:17" ht="15" thickBot="1" x14ac:dyDescent="0.4">
      <c r="B91" s="550">
        <f>'Brewery-Control Data'!$H$10</f>
        <v>211225.97753999999</v>
      </c>
      <c r="C91" s="298" t="s">
        <v>276</v>
      </c>
      <c r="D91" s="689"/>
      <c r="E91" s="689"/>
      <c r="F91" s="689"/>
      <c r="G91" s="457"/>
      <c r="H91" s="457"/>
      <c r="I91" s="689"/>
      <c r="J91" s="689"/>
      <c r="K91" s="689"/>
      <c r="L91" s="689"/>
      <c r="M91" s="689"/>
      <c r="N91" s="106"/>
      <c r="O91" s="687"/>
      <c r="P91" s="687"/>
      <c r="Q91" s="687"/>
    </row>
    <row r="92" spans="2:17" ht="15" thickBot="1" x14ac:dyDescent="0.4">
      <c r="B92" s="506">
        <f>B90/B91</f>
        <v>6.6893313237365998E-2</v>
      </c>
      <c r="C92" s="438" t="s">
        <v>1156</v>
      </c>
      <c r="D92" s="438"/>
      <c r="E92" s="685"/>
      <c r="F92" s="163"/>
      <c r="G92" s="163"/>
      <c r="H92" s="246"/>
      <c r="I92" s="246"/>
      <c r="J92" s="246"/>
      <c r="K92" s="246"/>
      <c r="L92" s="246"/>
      <c r="M92" s="246"/>
      <c r="N92" s="549"/>
      <c r="O92" s="687"/>
      <c r="P92" s="687"/>
      <c r="Q92" s="687"/>
    </row>
    <row r="93" spans="2:17" ht="15" thickBot="1" x14ac:dyDescent="0.4">
      <c r="B93" s="49"/>
      <c r="C93" s="689"/>
      <c r="D93" s="689"/>
      <c r="E93" s="689"/>
      <c r="F93" s="689"/>
      <c r="G93" s="689"/>
      <c r="H93" s="457"/>
      <c r="I93" s="457"/>
      <c r="J93" s="457"/>
      <c r="K93" s="457"/>
      <c r="L93" s="457"/>
      <c r="M93" s="457"/>
      <c r="N93" s="106"/>
      <c r="O93" s="687"/>
      <c r="P93" s="687"/>
      <c r="Q93" s="687"/>
    </row>
    <row r="94" spans="2:17" ht="15" thickBot="1" x14ac:dyDescent="0.4">
      <c r="B94" s="1948" t="s">
        <v>1157</v>
      </c>
      <c r="C94" s="1949"/>
      <c r="D94" s="1949"/>
      <c r="E94" s="1949"/>
      <c r="F94" s="1949"/>
      <c r="G94" s="1949"/>
      <c r="H94" s="1949"/>
      <c r="I94" s="1949"/>
      <c r="J94" s="1949"/>
      <c r="K94" s="1949"/>
      <c r="L94" s="1949"/>
      <c r="M94" s="1949"/>
      <c r="N94" s="1950"/>
      <c r="O94" s="687"/>
      <c r="P94" s="687"/>
      <c r="Q94" s="687"/>
    </row>
    <row r="95" spans="2:17" x14ac:dyDescent="0.35">
      <c r="B95" s="1965" t="s">
        <v>1090</v>
      </c>
      <c r="C95" s="1966"/>
      <c r="D95" s="1966"/>
      <c r="E95" s="1966"/>
      <c r="F95" s="1966"/>
      <c r="G95" s="1967"/>
      <c r="H95" s="457"/>
      <c r="I95" s="689"/>
      <c r="J95" s="689"/>
      <c r="K95" s="689"/>
      <c r="L95" s="689"/>
      <c r="M95" s="689"/>
      <c r="N95" s="20"/>
      <c r="O95" s="687"/>
      <c r="P95" s="687"/>
      <c r="Q95" s="687"/>
    </row>
    <row r="96" spans="2:17" x14ac:dyDescent="0.35">
      <c r="B96" s="1951" t="s">
        <v>1158</v>
      </c>
      <c r="C96" s="1952"/>
      <c r="D96" s="1952"/>
      <c r="E96" s="1952"/>
      <c r="F96" s="1952"/>
      <c r="G96" s="1962"/>
      <c r="H96" s="457"/>
      <c r="I96" s="689"/>
      <c r="J96" s="689"/>
      <c r="K96" s="689"/>
      <c r="L96" s="689"/>
      <c r="M96" s="689"/>
      <c r="N96" s="20"/>
      <c r="O96" s="687"/>
      <c r="P96" s="687"/>
      <c r="Q96" s="687"/>
    </row>
    <row r="97" spans="2:17" x14ac:dyDescent="0.35">
      <c r="B97" s="1963" t="s">
        <v>1060</v>
      </c>
      <c r="C97" s="1964"/>
      <c r="D97" s="1964"/>
      <c r="E97" s="1964"/>
      <c r="F97" s="1964"/>
      <c r="G97" s="1710" t="s">
        <v>1061</v>
      </c>
      <c r="H97" s="457"/>
      <c r="I97" s="1946" t="s">
        <v>1159</v>
      </c>
      <c r="J97" s="1930"/>
      <c r="K97" s="1930"/>
      <c r="L97" s="1930"/>
      <c r="M97" s="1930"/>
      <c r="N97" s="1931"/>
      <c r="O97" s="687"/>
      <c r="P97" s="687"/>
      <c r="Q97" s="687"/>
    </row>
    <row r="98" spans="2:17" x14ac:dyDescent="0.35">
      <c r="B98" s="1953" t="s">
        <v>1093</v>
      </c>
      <c r="C98" s="1954"/>
      <c r="D98" s="1954"/>
      <c r="E98" s="1954"/>
      <c r="F98" s="1955"/>
      <c r="G98" s="1709" t="s">
        <v>181</v>
      </c>
      <c r="H98" s="457"/>
      <c r="I98" s="1538">
        <v>59.4</v>
      </c>
      <c r="J98" s="457" t="s">
        <v>1160</v>
      </c>
      <c r="K98" s="457"/>
      <c r="L98" s="457"/>
      <c r="M98" s="457"/>
      <c r="N98" s="662" t="s">
        <v>1161</v>
      </c>
      <c r="O98" s="687"/>
      <c r="P98" s="687"/>
      <c r="Q98" s="687"/>
    </row>
    <row r="99" spans="2:17" x14ac:dyDescent="0.35">
      <c r="B99" s="1953" t="s">
        <v>1096</v>
      </c>
      <c r="C99" s="1954"/>
      <c r="D99" s="1954"/>
      <c r="E99" s="1954"/>
      <c r="F99" s="1955"/>
      <c r="G99" s="1709" t="s">
        <v>181</v>
      </c>
      <c r="H99" s="457"/>
      <c r="I99" s="1538">
        <v>13.61</v>
      </c>
      <c r="J99" s="457" t="s">
        <v>1162</v>
      </c>
      <c r="K99" s="457"/>
      <c r="L99" s="457"/>
      <c r="M99" s="457"/>
      <c r="N99" s="662" t="s">
        <v>1163</v>
      </c>
      <c r="O99" s="687"/>
      <c r="P99" s="687"/>
      <c r="Q99" s="687"/>
    </row>
    <row r="100" spans="2:17" x14ac:dyDescent="0.35">
      <c r="B100" s="1953" t="s">
        <v>1099</v>
      </c>
      <c r="C100" s="1954"/>
      <c r="D100" s="1954"/>
      <c r="E100" s="1954"/>
      <c r="F100" s="1955"/>
      <c r="G100" s="1709" t="s">
        <v>1100</v>
      </c>
      <c r="H100" s="457"/>
      <c r="I100" s="1538">
        <v>4.1859999999999999</v>
      </c>
      <c r="J100" s="457" t="s">
        <v>1101</v>
      </c>
      <c r="K100" s="457"/>
      <c r="L100" s="457"/>
      <c r="M100" s="457"/>
      <c r="N100" s="662" t="s">
        <v>1102</v>
      </c>
      <c r="O100" s="687"/>
      <c r="P100" s="687"/>
      <c r="Q100" s="687"/>
    </row>
    <row r="101" spans="2:17" x14ac:dyDescent="0.35">
      <c r="B101" s="1953" t="s">
        <v>1103</v>
      </c>
      <c r="C101" s="1954"/>
      <c r="D101" s="1954"/>
      <c r="E101" s="1954"/>
      <c r="F101" s="1955"/>
      <c r="G101" s="1709" t="s">
        <v>1100</v>
      </c>
      <c r="H101" s="457"/>
      <c r="I101" s="1579">
        <v>0.46</v>
      </c>
      <c r="J101" s="457" t="s">
        <v>1164</v>
      </c>
      <c r="K101" s="457"/>
      <c r="L101" s="457"/>
      <c r="M101" s="457"/>
      <c r="N101" s="662" t="s">
        <v>1165</v>
      </c>
      <c r="O101" s="687"/>
      <c r="P101" s="687"/>
      <c r="Q101" s="687"/>
    </row>
    <row r="102" spans="2:17" x14ac:dyDescent="0.35">
      <c r="B102" s="1953" t="s">
        <v>1106</v>
      </c>
      <c r="C102" s="1954"/>
      <c r="D102" s="1954"/>
      <c r="E102" s="1954"/>
      <c r="F102" s="1955"/>
      <c r="G102" s="1709" t="s">
        <v>1107</v>
      </c>
      <c r="H102" s="457"/>
      <c r="I102" s="1538">
        <v>18</v>
      </c>
      <c r="J102" s="457" t="s">
        <v>1166</v>
      </c>
      <c r="K102" s="457"/>
      <c r="L102" s="457"/>
      <c r="M102" s="457"/>
      <c r="N102" s="662" t="s">
        <v>1109</v>
      </c>
      <c r="O102" s="687"/>
      <c r="P102" s="687"/>
      <c r="Q102" s="687"/>
    </row>
    <row r="103" spans="2:17" x14ac:dyDescent="0.35">
      <c r="B103" s="1953" t="s">
        <v>1110</v>
      </c>
      <c r="C103" s="1954"/>
      <c r="D103" s="1954"/>
      <c r="E103" s="1954"/>
      <c r="F103" s="1955"/>
      <c r="G103" s="1709" t="s">
        <v>1107</v>
      </c>
      <c r="H103" s="457"/>
      <c r="I103" s="1538">
        <v>4.4400000000000004</v>
      </c>
      <c r="J103" s="457" t="s">
        <v>1167</v>
      </c>
      <c r="K103" s="457"/>
      <c r="L103" s="457"/>
      <c r="M103" s="457"/>
      <c r="N103" s="662" t="s">
        <v>1168</v>
      </c>
      <c r="O103" s="687"/>
      <c r="P103" s="687"/>
      <c r="Q103" s="687"/>
    </row>
    <row r="104" spans="2:17" x14ac:dyDescent="0.35">
      <c r="B104" s="1953" t="s">
        <v>1113</v>
      </c>
      <c r="C104" s="1954"/>
      <c r="D104" s="1954"/>
      <c r="E104" s="1954"/>
      <c r="F104" s="1955"/>
      <c r="G104" s="1709" t="s">
        <v>1068</v>
      </c>
      <c r="H104" s="457"/>
      <c r="I104" s="1538">
        <v>10</v>
      </c>
      <c r="J104" s="457" t="s">
        <v>1114</v>
      </c>
      <c r="K104" s="457"/>
      <c r="L104" s="457"/>
      <c r="M104" s="457"/>
      <c r="N104" s="662" t="s">
        <v>1115</v>
      </c>
      <c r="O104" s="687"/>
      <c r="P104" s="687"/>
      <c r="Q104" s="687"/>
    </row>
    <row r="105" spans="2:17" x14ac:dyDescent="0.35">
      <c r="B105" s="1953" t="s">
        <v>1116</v>
      </c>
      <c r="C105" s="1954"/>
      <c r="D105" s="1954"/>
      <c r="E105" s="1954"/>
      <c r="F105" s="1955"/>
      <c r="G105" s="1709" t="s">
        <v>168</v>
      </c>
      <c r="H105" s="457"/>
      <c r="I105" s="1538">
        <v>3</v>
      </c>
      <c r="J105" s="457" t="s">
        <v>1117</v>
      </c>
      <c r="K105" s="457"/>
      <c r="L105" s="457"/>
      <c r="M105" s="457"/>
      <c r="N105" s="662" t="s">
        <v>1118</v>
      </c>
      <c r="O105" s="687"/>
      <c r="P105" s="687"/>
      <c r="Q105" s="687"/>
    </row>
    <row r="106" spans="2:17" x14ac:dyDescent="0.35">
      <c r="B106" s="1953" t="s">
        <v>1119</v>
      </c>
      <c r="C106" s="1954"/>
      <c r="D106" s="1954"/>
      <c r="E106" s="1954"/>
      <c r="F106" s="1955"/>
      <c r="G106" s="1709" t="s">
        <v>658</v>
      </c>
      <c r="H106" s="457"/>
      <c r="I106" s="1538">
        <v>2.5</v>
      </c>
      <c r="J106" s="457" t="s">
        <v>1120</v>
      </c>
      <c r="K106" s="457"/>
      <c r="L106" s="457"/>
      <c r="M106" s="457"/>
      <c r="N106" s="662" t="s">
        <v>1121</v>
      </c>
      <c r="O106" s="687"/>
      <c r="P106" s="687"/>
      <c r="Q106" s="687"/>
    </row>
    <row r="107" spans="2:17" x14ac:dyDescent="0.35">
      <c r="B107" s="1953" t="s">
        <v>1122</v>
      </c>
      <c r="C107" s="1954"/>
      <c r="D107" s="1954"/>
      <c r="E107" s="1954"/>
      <c r="F107" s="1955"/>
      <c r="G107" s="1709" t="s">
        <v>1123</v>
      </c>
      <c r="H107" s="457"/>
      <c r="I107" s="1538">
        <v>2.7999999999999998E-4</v>
      </c>
      <c r="J107" s="457" t="s">
        <v>1124</v>
      </c>
      <c r="K107" s="457"/>
      <c r="L107" s="457"/>
      <c r="M107" s="457"/>
      <c r="N107" s="662" t="s">
        <v>1125</v>
      </c>
      <c r="O107" s="687"/>
      <c r="P107" s="687"/>
      <c r="Q107" s="687"/>
    </row>
    <row r="108" spans="2:17" x14ac:dyDescent="0.35">
      <c r="B108" s="1956" t="s">
        <v>1126</v>
      </c>
      <c r="C108" s="1957"/>
      <c r="D108" s="1957"/>
      <c r="E108" s="1957"/>
      <c r="F108" s="1957"/>
      <c r="G108" s="1958" t="s">
        <v>1127</v>
      </c>
      <c r="H108" s="457"/>
      <c r="I108" s="1538">
        <v>595.36</v>
      </c>
      <c r="J108" s="457" t="s">
        <v>1169</v>
      </c>
      <c r="K108" s="457"/>
      <c r="L108" s="457"/>
      <c r="M108" s="457"/>
      <c r="N108" s="662" t="s">
        <v>1129</v>
      </c>
      <c r="O108" s="687"/>
      <c r="P108" s="687"/>
      <c r="Q108" s="687"/>
    </row>
    <row r="109" spans="2:17" x14ac:dyDescent="0.35">
      <c r="B109" s="1956"/>
      <c r="C109" s="1957"/>
      <c r="D109" s="1957"/>
      <c r="E109" s="1957"/>
      <c r="F109" s="1957"/>
      <c r="G109" s="1958"/>
      <c r="H109" s="457"/>
      <c r="I109" s="1584">
        <v>1</v>
      </c>
      <c r="J109" s="457" t="s">
        <v>1170</v>
      </c>
      <c r="K109" s="457"/>
      <c r="L109" s="457"/>
      <c r="M109" s="457"/>
      <c r="N109" s="662" t="s">
        <v>1131</v>
      </c>
      <c r="O109" s="687"/>
      <c r="P109" s="687"/>
      <c r="Q109" s="687"/>
    </row>
    <row r="110" spans="2:17" x14ac:dyDescent="0.35">
      <c r="B110" s="1953" t="s">
        <v>1132</v>
      </c>
      <c r="C110" s="1954"/>
      <c r="D110" s="1954"/>
      <c r="E110" s="1954"/>
      <c r="F110" s="1955"/>
      <c r="G110" s="1709" t="s">
        <v>1065</v>
      </c>
      <c r="H110" s="457"/>
      <c r="I110" s="548"/>
      <c r="J110" s="457"/>
      <c r="K110" s="457"/>
      <c r="L110" s="457"/>
      <c r="M110" s="457"/>
      <c r="N110" s="106"/>
      <c r="O110" s="687"/>
      <c r="P110" s="687"/>
      <c r="Q110" s="687"/>
    </row>
    <row r="111" spans="2:17" x14ac:dyDescent="0.35">
      <c r="B111" s="1953" t="s">
        <v>1134</v>
      </c>
      <c r="C111" s="1954"/>
      <c r="D111" s="1954"/>
      <c r="E111" s="1954"/>
      <c r="F111" s="1955"/>
      <c r="G111" s="1709" t="s">
        <v>1135</v>
      </c>
      <c r="H111" s="457"/>
      <c r="I111" s="1585">
        <f>((((I98*I100*(I102-I103))+(I99*I101*(I102-I103)))*((1+(I105*I104))/I106)*I107*I108*I109))</f>
        <v>7145.0328190983137</v>
      </c>
      <c r="J111" s="246" t="s">
        <v>1171</v>
      </c>
      <c r="K111" s="246"/>
      <c r="L111" s="246"/>
      <c r="M111" s="246"/>
      <c r="N111" s="549"/>
      <c r="O111" s="687"/>
      <c r="P111" s="687"/>
      <c r="Q111" s="687"/>
    </row>
    <row r="112" spans="2:17" x14ac:dyDescent="0.35">
      <c r="B112" s="560"/>
      <c r="C112" s="1494"/>
      <c r="D112" s="1494"/>
      <c r="E112" s="1494"/>
      <c r="F112" s="1494"/>
      <c r="G112" s="1494"/>
      <c r="H112" s="457"/>
      <c r="I112" s="457"/>
      <c r="J112" s="457"/>
      <c r="K112" s="457"/>
      <c r="L112" s="457"/>
      <c r="M112" s="457"/>
      <c r="N112" s="106"/>
      <c r="O112" s="687"/>
      <c r="P112" s="687"/>
      <c r="Q112" s="687"/>
    </row>
    <row r="113" spans="2:17" x14ac:dyDescent="0.35">
      <c r="B113" s="458"/>
      <c r="C113" s="457"/>
      <c r="D113" s="457"/>
      <c r="E113" s="457"/>
      <c r="F113" s="457"/>
      <c r="G113" s="457"/>
      <c r="H113" s="457"/>
      <c r="I113" s="687"/>
      <c r="J113" s="687"/>
      <c r="K113" s="687"/>
      <c r="L113" s="687"/>
      <c r="M113" s="687"/>
      <c r="N113" s="106"/>
      <c r="O113" s="687"/>
      <c r="P113" s="687"/>
      <c r="Q113" s="687"/>
    </row>
    <row r="114" spans="2:17" x14ac:dyDescent="0.35">
      <c r="B114" s="538">
        <f>B86</f>
        <v>15000</v>
      </c>
      <c r="C114" s="313" t="str">
        <f>C86</f>
        <v>Beer barrels shipped as kegs (bbls)</v>
      </c>
      <c r="D114" s="457"/>
      <c r="E114" s="457"/>
      <c r="F114" s="457"/>
      <c r="G114" s="457"/>
      <c r="H114" s="457"/>
      <c r="I114" s="687"/>
      <c r="J114" s="687"/>
      <c r="K114" s="687"/>
      <c r="L114" s="687"/>
      <c r="M114" s="687"/>
      <c r="N114" s="106"/>
      <c r="O114" s="687"/>
      <c r="P114" s="687"/>
      <c r="Q114" s="687"/>
    </row>
    <row r="115" spans="2:17" x14ac:dyDescent="0.35">
      <c r="B115" s="925">
        <v>0.5</v>
      </c>
      <c r="C115" s="457" t="s">
        <v>1153</v>
      </c>
      <c r="D115" s="457"/>
      <c r="E115" s="457"/>
      <c r="F115" s="457"/>
      <c r="G115" s="457"/>
      <c r="H115" s="457"/>
      <c r="I115" s="687"/>
      <c r="J115" s="687"/>
      <c r="K115" s="687"/>
      <c r="L115" s="687"/>
      <c r="M115" s="687"/>
      <c r="N115" s="106"/>
      <c r="O115" s="687"/>
      <c r="P115" s="687"/>
      <c r="Q115" s="687"/>
    </row>
    <row r="116" spans="2:17" x14ac:dyDescent="0.35">
      <c r="B116" s="538">
        <f>B114/B115</f>
        <v>30000</v>
      </c>
      <c r="C116" s="457" t="str">
        <f>C88</f>
        <v>Kegs shipped (kegs)</v>
      </c>
      <c r="D116" s="457"/>
      <c r="E116" s="457"/>
      <c r="F116" s="457"/>
      <c r="G116" s="457"/>
      <c r="H116" s="457"/>
      <c r="I116" s="687"/>
      <c r="J116" s="687"/>
      <c r="K116" s="687"/>
      <c r="L116" s="687"/>
      <c r="M116" s="687"/>
      <c r="N116" s="106"/>
      <c r="O116" s="687"/>
      <c r="P116" s="687"/>
      <c r="Q116" s="687"/>
    </row>
    <row r="117" spans="2:17" x14ac:dyDescent="0.35">
      <c r="B117" s="686">
        <f>I111</f>
        <v>7145.0328190983137</v>
      </c>
      <c r="C117" s="457" t="s">
        <v>1172</v>
      </c>
      <c r="D117" s="457"/>
      <c r="E117" s="457"/>
      <c r="F117" s="457"/>
      <c r="G117" s="457"/>
      <c r="H117" s="457"/>
      <c r="I117" s="687"/>
      <c r="J117" s="687"/>
      <c r="K117" s="687"/>
      <c r="L117" s="687"/>
      <c r="M117" s="687"/>
      <c r="N117" s="106"/>
      <c r="O117" s="687"/>
      <c r="P117" s="687"/>
      <c r="Q117" s="687"/>
    </row>
    <row r="118" spans="2:17" x14ac:dyDescent="0.35">
      <c r="B118" s="538">
        <f>B116*B117</f>
        <v>214350984.57294941</v>
      </c>
      <c r="C118" s="457" t="s">
        <v>1173</v>
      </c>
      <c r="D118" s="457"/>
      <c r="E118" s="457"/>
      <c r="F118" s="457"/>
      <c r="G118" s="457"/>
      <c r="H118" s="457"/>
      <c r="I118" s="687"/>
      <c r="J118" s="687"/>
      <c r="K118" s="687"/>
      <c r="L118" s="687"/>
      <c r="M118" s="687"/>
      <c r="N118" s="106"/>
      <c r="O118" s="687"/>
      <c r="P118" s="687"/>
      <c r="Q118" s="687"/>
    </row>
    <row r="119" spans="2:17" ht="15" thickBot="1" x14ac:dyDescent="0.4">
      <c r="B119" s="665">
        <v>1E-3</v>
      </c>
      <c r="C119" s="457" t="s">
        <v>1174</v>
      </c>
      <c r="D119" s="457"/>
      <c r="E119" s="457"/>
      <c r="F119" s="457"/>
      <c r="G119" s="457"/>
      <c r="H119" s="457"/>
      <c r="I119" s="687"/>
      <c r="J119" s="687"/>
      <c r="K119" s="687"/>
      <c r="L119" s="687"/>
      <c r="M119" s="687"/>
      <c r="N119" s="106"/>
      <c r="O119" s="687"/>
      <c r="P119" s="687"/>
      <c r="Q119" s="687"/>
    </row>
    <row r="120" spans="2:17" ht="15" thickBot="1" x14ac:dyDescent="0.4">
      <c r="B120" s="553">
        <f>B118*B119</f>
        <v>214350.98457294941</v>
      </c>
      <c r="C120" s="554" t="s">
        <v>1175</v>
      </c>
      <c r="D120" s="281"/>
      <c r="E120" s="281"/>
      <c r="F120" s="546"/>
      <c r="G120" s="457"/>
      <c r="H120" s="457"/>
      <c r="I120" s="687"/>
      <c r="J120" s="687"/>
      <c r="K120" s="687"/>
      <c r="L120" s="687"/>
      <c r="M120" s="687"/>
      <c r="N120" s="106"/>
      <c r="O120" s="687"/>
      <c r="P120" s="687"/>
      <c r="Q120" s="687"/>
    </row>
    <row r="121" spans="2:17" ht="15" thickBot="1" x14ac:dyDescent="0.4">
      <c r="B121" s="550">
        <f>'Brewery-Control Data'!$H$10</f>
        <v>211225.97753999999</v>
      </c>
      <c r="C121" s="298" t="s">
        <v>276</v>
      </c>
      <c r="D121" s="457"/>
      <c r="E121" s="457"/>
      <c r="F121" s="457"/>
      <c r="G121" s="457"/>
      <c r="H121" s="457"/>
      <c r="I121" s="687"/>
      <c r="J121" s="687"/>
      <c r="K121" s="687"/>
      <c r="L121" s="687"/>
      <c r="M121" s="687"/>
      <c r="N121" s="106"/>
      <c r="O121" s="687"/>
      <c r="P121" s="687"/>
      <c r="Q121" s="687"/>
    </row>
    <row r="122" spans="2:17" ht="15" thickBot="1" x14ac:dyDescent="0.4">
      <c r="B122" s="506">
        <f>B120/B121</f>
        <v>1.0147946150816494</v>
      </c>
      <c r="C122" s="438" t="s">
        <v>1176</v>
      </c>
      <c r="D122" s="437"/>
      <c r="E122" s="437"/>
      <c r="F122" s="329"/>
      <c r="G122" s="591"/>
      <c r="H122" s="246"/>
      <c r="I122" s="246"/>
      <c r="J122" s="246"/>
      <c r="K122" s="246"/>
      <c r="L122" s="246"/>
      <c r="M122" s="246"/>
      <c r="N122" s="549"/>
      <c r="O122" s="687"/>
      <c r="P122" s="687"/>
      <c r="Q122" s="687"/>
    </row>
    <row r="123" spans="2:17" x14ac:dyDescent="0.35">
      <c r="B123" s="458"/>
      <c r="C123" s="457"/>
      <c r="D123" s="457"/>
      <c r="E123" s="457"/>
      <c r="F123" s="457"/>
      <c r="G123" s="457"/>
      <c r="H123" s="457"/>
      <c r="I123" s="457"/>
      <c r="J123" s="457"/>
      <c r="K123" s="457"/>
      <c r="L123" s="457"/>
      <c r="M123" s="457"/>
      <c r="N123" s="106"/>
      <c r="O123" s="687"/>
      <c r="P123" s="687"/>
      <c r="Q123" s="687"/>
    </row>
    <row r="124" spans="2:17" ht="15" thickBot="1" x14ac:dyDescent="0.4">
      <c r="B124" s="49"/>
      <c r="C124" s="689"/>
      <c r="D124" s="689"/>
      <c r="E124" s="689"/>
      <c r="F124" s="689"/>
      <c r="G124" s="689"/>
      <c r="H124" s="457"/>
      <c r="I124" s="457"/>
      <c r="J124" s="457"/>
      <c r="K124" s="457"/>
      <c r="L124" s="457"/>
      <c r="M124" s="457"/>
      <c r="N124" s="106"/>
      <c r="O124" s="687"/>
      <c r="P124" s="687"/>
      <c r="Q124" s="687"/>
    </row>
    <row r="125" spans="2:17" ht="15" thickBot="1" x14ac:dyDescent="0.4">
      <c r="B125" s="1836" t="s">
        <v>1177</v>
      </c>
      <c r="C125" s="1839"/>
      <c r="D125" s="1839"/>
      <c r="E125" s="1839"/>
      <c r="F125" s="1839"/>
      <c r="G125" s="1837"/>
      <c r="H125" s="457"/>
      <c r="I125" s="457"/>
      <c r="J125" s="457"/>
      <c r="K125" s="457"/>
      <c r="L125" s="457"/>
      <c r="M125" s="457"/>
      <c r="N125" s="106"/>
      <c r="O125" s="687"/>
      <c r="P125" s="687"/>
      <c r="Q125" s="687"/>
    </row>
    <row r="126" spans="2:17" ht="15" thickBot="1" x14ac:dyDescent="0.4">
      <c r="B126" s="553">
        <f>B90+B120</f>
        <v>228480.59005240147</v>
      </c>
      <c r="C126" s="554" t="s">
        <v>1178</v>
      </c>
      <c r="D126" s="554"/>
      <c r="E126" s="554"/>
      <c r="F126" s="281"/>
      <c r="G126" s="601"/>
      <c r="H126" s="457"/>
      <c r="I126" s="457"/>
      <c r="J126" s="457"/>
      <c r="K126" s="457"/>
      <c r="L126" s="457"/>
      <c r="M126" s="457"/>
      <c r="N126" s="106"/>
      <c r="O126" s="687"/>
      <c r="P126" s="687"/>
      <c r="Q126" s="687"/>
    </row>
    <row r="127" spans="2:17" ht="15" thickBot="1" x14ac:dyDescent="0.4">
      <c r="B127" s="550">
        <f>'Brewery-Control Data'!$H$10</f>
        <v>211225.97753999999</v>
      </c>
      <c r="C127" s="552" t="s">
        <v>276</v>
      </c>
      <c r="D127" s="689"/>
      <c r="E127" s="689"/>
      <c r="F127" s="457"/>
      <c r="G127" s="682"/>
      <c r="H127" s="457"/>
      <c r="I127" s="457"/>
      <c r="J127" s="457"/>
      <c r="K127" s="457"/>
      <c r="L127" s="457"/>
      <c r="M127" s="457"/>
      <c r="N127" s="106"/>
      <c r="O127" s="687"/>
      <c r="P127" s="687"/>
      <c r="Q127" s="687"/>
    </row>
    <row r="128" spans="2:17" ht="15" thickBot="1" x14ac:dyDescent="0.4">
      <c r="B128" s="506">
        <f>B126/B127</f>
        <v>1.0816879283190155</v>
      </c>
      <c r="C128" s="438" t="s">
        <v>1179</v>
      </c>
      <c r="D128" s="438"/>
      <c r="E128" s="438"/>
      <c r="F128" s="437"/>
      <c r="G128" s="602"/>
      <c r="H128" s="543"/>
      <c r="I128" s="543"/>
      <c r="J128" s="543"/>
      <c r="K128" s="543"/>
      <c r="L128" s="543"/>
      <c r="M128" s="543"/>
      <c r="N128" s="866"/>
      <c r="O128" s="687"/>
      <c r="P128" s="687"/>
      <c r="Q128" s="687"/>
    </row>
    <row r="129" spans="1:17" x14ac:dyDescent="0.35">
      <c r="B129" s="687"/>
      <c r="C129" s="687"/>
      <c r="D129" s="687"/>
      <c r="E129" s="687"/>
      <c r="F129" s="689"/>
      <c r="G129" s="689"/>
      <c r="H129" s="457"/>
      <c r="I129" s="457"/>
      <c r="J129" s="457"/>
      <c r="K129" s="457"/>
      <c r="L129" s="457"/>
      <c r="M129" s="457"/>
      <c r="N129" s="457"/>
      <c r="O129" s="687"/>
      <c r="P129" s="687"/>
      <c r="Q129" s="687"/>
    </row>
    <row r="130" spans="1:17" x14ac:dyDescent="0.35">
      <c r="B130" s="687"/>
      <c r="C130" s="687"/>
      <c r="D130" s="687"/>
      <c r="E130" s="687"/>
      <c r="F130" s="689"/>
      <c r="G130" s="689"/>
      <c r="H130" s="457"/>
      <c r="I130" s="457"/>
      <c r="J130" s="457"/>
      <c r="K130" s="457"/>
      <c r="L130" s="457"/>
      <c r="M130" s="457"/>
      <c r="N130" s="457"/>
      <c r="O130" s="687"/>
      <c r="P130" s="687"/>
      <c r="Q130" s="687"/>
    </row>
    <row r="131" spans="1:17" ht="15" thickBot="1" x14ac:dyDescent="0.4">
      <c r="B131" s="687"/>
      <c r="C131" s="687"/>
      <c r="D131" s="687"/>
      <c r="E131" s="687"/>
      <c r="F131" s="689"/>
      <c r="G131" s="689"/>
      <c r="H131" s="457"/>
      <c r="I131" s="457"/>
      <c r="J131" s="457"/>
      <c r="K131" s="457"/>
      <c r="L131" s="457"/>
      <c r="M131" s="457"/>
      <c r="N131" s="457"/>
      <c r="O131" s="687"/>
      <c r="P131" s="687"/>
      <c r="Q131" s="687"/>
    </row>
    <row r="132" spans="1:17" ht="15" thickBot="1" x14ac:dyDescent="0.4">
      <c r="B132" s="1847" t="s">
        <v>1180</v>
      </c>
      <c r="C132" s="1845"/>
      <c r="D132" s="1845"/>
      <c r="E132" s="1845"/>
      <c r="F132" s="1845"/>
      <c r="G132" s="1947"/>
      <c r="H132" s="689"/>
      <c r="I132" s="457"/>
      <c r="J132" s="457"/>
      <c r="K132" s="457"/>
      <c r="L132" s="457"/>
      <c r="M132" s="689"/>
      <c r="N132" s="687"/>
      <c r="O132" s="687"/>
      <c r="P132" s="687"/>
      <c r="Q132" s="687"/>
    </row>
    <row r="133" spans="1:17" ht="15" thickBot="1" x14ac:dyDescent="0.4">
      <c r="B133" s="553">
        <f>B126+B62</f>
        <v>2155843.2414755491</v>
      </c>
      <c r="C133" s="554" t="s">
        <v>1181</v>
      </c>
      <c r="D133" s="554"/>
      <c r="E133" s="281"/>
      <c r="F133" s="281"/>
      <c r="G133" s="546"/>
      <c r="H133" s="689"/>
      <c r="I133" s="457"/>
      <c r="J133" s="457"/>
      <c r="K133" s="457"/>
      <c r="L133" s="457"/>
      <c r="M133" s="687"/>
      <c r="N133" s="687"/>
      <c r="O133" s="687"/>
      <c r="P133" s="687"/>
      <c r="Q133" s="687"/>
    </row>
    <row r="134" spans="1:17" ht="15" thickBot="1" x14ac:dyDescent="0.4">
      <c r="B134" s="550">
        <f>'Brewery-Control Data'!$H$10</f>
        <v>211225.97753999999</v>
      </c>
      <c r="C134" s="552" t="s">
        <v>276</v>
      </c>
      <c r="D134" s="689"/>
      <c r="E134" s="689"/>
      <c r="F134" s="689"/>
      <c r="G134" s="20"/>
      <c r="H134" s="689"/>
      <c r="I134" s="457"/>
      <c r="J134" s="457"/>
      <c r="K134" s="457"/>
      <c r="L134" s="457"/>
      <c r="M134" s="689"/>
      <c r="N134" s="689"/>
      <c r="O134" s="687"/>
      <c r="P134" s="687"/>
      <c r="Q134" s="687"/>
    </row>
    <row r="135" spans="1:17" ht="15" thickBot="1" x14ac:dyDescent="0.4">
      <c r="B135" s="506">
        <f>B133/B134</f>
        <v>10.206335729076201</v>
      </c>
      <c r="C135" s="438" t="s">
        <v>1182</v>
      </c>
      <c r="D135" s="438"/>
      <c r="E135" s="438"/>
      <c r="F135" s="437"/>
      <c r="G135" s="329"/>
      <c r="H135" s="689"/>
      <c r="I135" s="457"/>
      <c r="J135" s="457"/>
      <c r="K135" s="457"/>
      <c r="L135" s="457"/>
      <c r="M135" s="689"/>
      <c r="N135" s="689"/>
      <c r="O135" s="687"/>
      <c r="P135" s="687"/>
      <c r="Q135" s="687"/>
    </row>
    <row r="136" spans="1:17" x14ac:dyDescent="0.35">
      <c r="B136" s="666"/>
      <c r="C136" s="687"/>
      <c r="D136" s="687"/>
      <c r="E136" s="687"/>
      <c r="F136" s="687"/>
      <c r="G136" s="687"/>
      <c r="H136" s="687"/>
      <c r="I136" s="457"/>
      <c r="J136" s="457"/>
      <c r="K136" s="457"/>
      <c r="L136" s="457"/>
      <c r="M136" s="687"/>
      <c r="N136" s="687"/>
      <c r="O136" s="687"/>
      <c r="P136" s="687"/>
      <c r="Q136" s="687"/>
    </row>
    <row r="137" spans="1:17" x14ac:dyDescent="0.35">
      <c r="B137" s="687"/>
      <c r="C137" s="687"/>
      <c r="D137" s="687"/>
      <c r="E137" s="687"/>
      <c r="F137" s="687"/>
      <c r="G137" s="687"/>
      <c r="H137" s="687"/>
      <c r="I137" s="457"/>
      <c r="J137" s="457"/>
      <c r="K137" s="457"/>
      <c r="L137" s="457"/>
      <c r="M137" s="687"/>
      <c r="N137" s="687"/>
      <c r="O137" s="687"/>
      <c r="P137" s="687"/>
      <c r="Q137" s="687"/>
    </row>
    <row r="138" spans="1:17" s="687" customFormat="1" x14ac:dyDescent="0.35"/>
    <row r="139" spans="1:17" ht="15" thickBot="1" x14ac:dyDescent="0.4">
      <c r="A139" s="583" t="s">
        <v>499</v>
      </c>
      <c r="B139" s="583"/>
      <c r="C139" s="583"/>
      <c r="D139" s="583"/>
      <c r="E139" s="583"/>
      <c r="F139" s="687"/>
      <c r="G139" s="687"/>
      <c r="H139" s="687"/>
      <c r="I139" s="687"/>
      <c r="J139" s="687"/>
      <c r="K139" s="687"/>
      <c r="L139" s="687"/>
      <c r="M139" s="687"/>
      <c r="N139" s="687"/>
      <c r="O139" s="687"/>
      <c r="P139" s="687"/>
      <c r="Q139" s="687"/>
    </row>
    <row r="140" spans="1:17" ht="15" thickTop="1" x14ac:dyDescent="0.35">
      <c r="A140" s="238" t="s">
        <v>1183</v>
      </c>
      <c r="B140" s="687"/>
      <c r="C140" s="239"/>
      <c r="D140" s="239"/>
      <c r="E140" s="687"/>
      <c r="F140" s="687"/>
      <c r="G140" s="687"/>
      <c r="H140" s="687"/>
      <c r="I140" s="687"/>
      <c r="J140" s="687"/>
      <c r="K140" s="687"/>
      <c r="L140" s="687"/>
      <c r="M140" s="687"/>
      <c r="N140" s="687"/>
      <c r="O140" s="687"/>
      <c r="P140" s="687"/>
      <c r="Q140" s="687"/>
    </row>
    <row r="141" spans="1:17" x14ac:dyDescent="0.35">
      <c r="B141" s="312"/>
      <c r="C141" s="239"/>
      <c r="D141" s="239"/>
      <c r="E141" s="687"/>
      <c r="F141" s="687"/>
      <c r="G141" s="687"/>
      <c r="H141" s="687"/>
      <c r="I141" s="687"/>
      <c r="J141" s="687"/>
      <c r="K141" s="687"/>
      <c r="L141" s="687"/>
      <c r="M141" s="687"/>
      <c r="N141" s="687"/>
      <c r="O141" s="687"/>
      <c r="P141" s="687"/>
      <c r="Q141" s="687"/>
    </row>
    <row r="142" spans="1:17" x14ac:dyDescent="0.35">
      <c r="A142" s="688" t="s">
        <v>1184</v>
      </c>
      <c r="B142" s="687"/>
      <c r="C142" s="687"/>
      <c r="D142" s="687"/>
      <c r="E142" s="687"/>
      <c r="F142" s="687"/>
      <c r="G142" s="687"/>
      <c r="H142" s="687"/>
      <c r="I142" s="687"/>
      <c r="J142" s="687"/>
      <c r="K142" s="687"/>
      <c r="L142" s="687"/>
      <c r="M142" s="687"/>
      <c r="N142" s="687"/>
      <c r="O142" s="687"/>
      <c r="P142" s="687"/>
      <c r="Q142" s="687"/>
    </row>
    <row r="143" spans="1:17" x14ac:dyDescent="0.35">
      <c r="B143" s="690" t="s">
        <v>1185</v>
      </c>
      <c r="C143" s="690"/>
      <c r="D143" s="690"/>
      <c r="E143" s="687"/>
      <c r="F143" s="687"/>
      <c r="G143" s="687"/>
      <c r="H143" s="687"/>
      <c r="I143" s="687"/>
      <c r="J143" s="687"/>
      <c r="K143" s="687"/>
      <c r="L143" s="687"/>
      <c r="M143" s="687"/>
      <c r="N143" s="687"/>
      <c r="O143" s="687"/>
      <c r="P143" s="687"/>
      <c r="Q143" s="687"/>
    </row>
    <row r="144" spans="1:17" x14ac:dyDescent="0.35">
      <c r="B144" s="687"/>
      <c r="C144" s="696"/>
      <c r="D144" s="690"/>
      <c r="E144" s="687"/>
      <c r="F144" s="687"/>
      <c r="G144" s="687"/>
      <c r="H144" s="687"/>
      <c r="I144" s="687"/>
      <c r="J144" s="687"/>
      <c r="K144" s="687"/>
      <c r="L144" s="687"/>
      <c r="M144" s="687"/>
      <c r="N144" s="687"/>
      <c r="O144" s="687"/>
      <c r="P144" s="687"/>
      <c r="Q144" s="687"/>
    </row>
    <row r="145" spans="1:17" x14ac:dyDescent="0.35">
      <c r="A145" s="688" t="s">
        <v>1186</v>
      </c>
      <c r="B145" s="687"/>
      <c r="C145" s="687"/>
      <c r="D145" s="687"/>
      <c r="E145" s="687"/>
      <c r="F145" s="687"/>
      <c r="G145" s="687"/>
      <c r="H145" s="687"/>
      <c r="I145" s="687"/>
      <c r="J145" s="687"/>
      <c r="K145" s="687"/>
      <c r="L145" s="687"/>
      <c r="M145" s="687"/>
      <c r="N145" s="687"/>
      <c r="O145" s="687"/>
      <c r="P145" s="687"/>
      <c r="Q145" s="687"/>
    </row>
    <row r="146" spans="1:17" x14ac:dyDescent="0.35">
      <c r="B146" s="687" t="s">
        <v>1187</v>
      </c>
      <c r="C146" s="687"/>
      <c r="D146" s="687"/>
      <c r="E146" s="687"/>
      <c r="F146" s="687"/>
      <c r="G146" s="687"/>
      <c r="H146" s="687"/>
      <c r="I146" s="687"/>
      <c r="J146" s="687"/>
      <c r="K146" s="687"/>
      <c r="L146" s="687"/>
      <c r="M146" s="687"/>
      <c r="N146" s="687"/>
      <c r="O146" s="687"/>
      <c r="P146" s="687"/>
      <c r="Q146" s="687"/>
    </row>
    <row r="147" spans="1:17" x14ac:dyDescent="0.35">
      <c r="B147" s="687"/>
      <c r="C147" s="696"/>
      <c r="D147" s="687"/>
      <c r="E147" s="687"/>
      <c r="F147" s="687"/>
      <c r="G147" s="687"/>
      <c r="H147" s="687"/>
      <c r="I147" s="687"/>
      <c r="J147" s="687"/>
      <c r="K147" s="687"/>
      <c r="L147" s="687"/>
      <c r="M147" s="687"/>
      <c r="N147" s="687"/>
      <c r="O147" s="687"/>
      <c r="P147" s="687"/>
      <c r="Q147" s="687"/>
    </row>
    <row r="148" spans="1:17" x14ac:dyDescent="0.35">
      <c r="A148" s="298" t="s">
        <v>1188</v>
      </c>
      <c r="B148" s="687"/>
      <c r="C148" s="687"/>
      <c r="D148" s="687"/>
      <c r="E148" s="687"/>
      <c r="F148" s="687"/>
      <c r="G148" s="687"/>
      <c r="H148" s="687"/>
      <c r="I148" s="687"/>
      <c r="J148" s="687"/>
      <c r="K148" s="687"/>
      <c r="L148" s="687"/>
      <c r="M148" s="687"/>
      <c r="N148" s="687"/>
      <c r="O148" s="687"/>
      <c r="P148" s="687"/>
      <c r="Q148" s="687"/>
    </row>
    <row r="149" spans="1:17" x14ac:dyDescent="0.35">
      <c r="B149" s="457" t="s">
        <v>1189</v>
      </c>
      <c r="C149" s="687"/>
      <c r="D149" s="687"/>
      <c r="E149" s="687"/>
      <c r="F149" s="687"/>
      <c r="G149" s="687"/>
      <c r="H149" s="687"/>
      <c r="I149" s="687"/>
      <c r="J149" s="687"/>
      <c r="K149" s="687"/>
      <c r="L149" s="687"/>
      <c r="M149" s="687"/>
      <c r="N149" s="687"/>
      <c r="O149" s="687"/>
      <c r="P149" s="687"/>
      <c r="Q149" s="687"/>
    </row>
    <row r="150" spans="1:17" x14ac:dyDescent="0.35">
      <c r="B150" s="687"/>
      <c r="C150" s="687"/>
      <c r="D150" s="687"/>
      <c r="E150" s="687"/>
      <c r="F150" s="687"/>
      <c r="G150" s="687"/>
      <c r="H150" s="687"/>
      <c r="I150" s="687"/>
      <c r="J150" s="687"/>
      <c r="K150" s="687"/>
      <c r="L150" s="687"/>
      <c r="M150" s="687"/>
      <c r="N150" s="687"/>
      <c r="O150" s="687"/>
      <c r="P150" s="687"/>
      <c r="Q150" s="687"/>
    </row>
    <row r="152" spans="1:17" ht="16" thickBot="1" x14ac:dyDescent="0.4">
      <c r="A152" s="1678"/>
      <c r="B152" s="1678"/>
      <c r="C152" s="1678"/>
      <c r="D152" s="1678"/>
      <c r="E152" s="1678"/>
      <c r="F152" s="1678"/>
      <c r="G152" s="1678"/>
      <c r="H152" s="1678"/>
      <c r="I152" s="1678"/>
      <c r="J152" s="1678"/>
      <c r="K152" s="1678"/>
      <c r="L152" s="1678"/>
      <c r="M152" s="1678"/>
      <c r="N152" s="1679" t="s">
        <v>72</v>
      </c>
      <c r="O152" s="1680"/>
      <c r="P152" s="1681"/>
      <c r="Q152" s="687"/>
    </row>
    <row r="153" spans="1:17" ht="15" thickTop="1" x14ac:dyDescent="0.35">
      <c r="A153" s="87"/>
      <c r="B153" s="87"/>
      <c r="C153" s="87"/>
      <c r="D153" s="87"/>
      <c r="E153" s="87"/>
      <c r="F153" s="87"/>
      <c r="G153" s="87"/>
      <c r="H153" s="87"/>
      <c r="I153" s="87"/>
      <c r="J153" s="87"/>
      <c r="K153" s="87"/>
      <c r="L153" s="87"/>
      <c r="M153" s="87"/>
      <c r="N153" s="87"/>
      <c r="O153" s="457"/>
      <c r="P153" s="457"/>
      <c r="Q153" s="687"/>
    </row>
  </sheetData>
  <mergeCells count="66">
    <mergeCell ref="I18:N18"/>
    <mergeCell ref="B1:N1"/>
    <mergeCell ref="B6:N6"/>
    <mergeCell ref="B10:F10"/>
    <mergeCell ref="B11:F11"/>
    <mergeCell ref="B12:F12"/>
    <mergeCell ref="B13:F13"/>
    <mergeCell ref="B14:F14"/>
    <mergeCell ref="B15:F16"/>
    <mergeCell ref="G15:G16"/>
    <mergeCell ref="B18:G18"/>
    <mergeCell ref="I38:N38"/>
    <mergeCell ref="B41:F41"/>
    <mergeCell ref="B42:F42"/>
    <mergeCell ref="B43:F43"/>
    <mergeCell ref="B44:F44"/>
    <mergeCell ref="B52:F52"/>
    <mergeCell ref="B69:G69"/>
    <mergeCell ref="B70:F70"/>
    <mergeCell ref="B46:F46"/>
    <mergeCell ref="B36:G36"/>
    <mergeCell ref="B37:G37"/>
    <mergeCell ref="B38:F38"/>
    <mergeCell ref="B39:F39"/>
    <mergeCell ref="B40:F40"/>
    <mergeCell ref="B45:F45"/>
    <mergeCell ref="B47:F47"/>
    <mergeCell ref="B48:F48"/>
    <mergeCell ref="B49:F50"/>
    <mergeCell ref="G49:G50"/>
    <mergeCell ref="B51:F51"/>
    <mergeCell ref="B71:F71"/>
    <mergeCell ref="B72:F72"/>
    <mergeCell ref="G75:G76"/>
    <mergeCell ref="B73:F73"/>
    <mergeCell ref="B61:G61"/>
    <mergeCell ref="B67:N67"/>
    <mergeCell ref="B68:G68"/>
    <mergeCell ref="B74:F74"/>
    <mergeCell ref="B98:F98"/>
    <mergeCell ref="B78:G78"/>
    <mergeCell ref="B96:G96"/>
    <mergeCell ref="B97:F97"/>
    <mergeCell ref="B95:G95"/>
    <mergeCell ref="B103:F103"/>
    <mergeCell ref="B104:F104"/>
    <mergeCell ref="B105:F105"/>
    <mergeCell ref="B101:F101"/>
    <mergeCell ref="B99:F99"/>
    <mergeCell ref="B100:F100"/>
    <mergeCell ref="I97:N97"/>
    <mergeCell ref="B125:G125"/>
    <mergeCell ref="B132:G132"/>
    <mergeCell ref="B7:N7"/>
    <mergeCell ref="B9:G9"/>
    <mergeCell ref="B35:N35"/>
    <mergeCell ref="B66:N66"/>
    <mergeCell ref="B94:N94"/>
    <mergeCell ref="B106:F106"/>
    <mergeCell ref="B107:F107"/>
    <mergeCell ref="B108:F109"/>
    <mergeCell ref="G108:G109"/>
    <mergeCell ref="B110:F110"/>
    <mergeCell ref="B111:F111"/>
    <mergeCell ref="B75:F76"/>
    <mergeCell ref="B102:F102"/>
  </mergeCells>
  <hyperlinks>
    <hyperlink ref="B4" location="'Glossary-FAQs'!A1" display="Glossary/FAQ" xr:uid="{602F1157-9888-4F3E-AC23-E8766C1E9CCD}"/>
    <hyperlink ref="C3" location="'Welcome'!C15" display="  = Data entry needed. See color legend on Welcome tab for more info.  " xr:uid="{22B93BDB-532D-481E-9897-CE13275DB9FD}"/>
  </hyperlinks>
  <pageMargins left="0.75" right="0.7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92D050"/>
  </sheetPr>
  <dimension ref="A1:P61"/>
  <sheetViews>
    <sheetView zoomScale="115" zoomScaleNormal="115" workbookViewId="0">
      <selection activeCell="A2" sqref="A2"/>
    </sheetView>
  </sheetViews>
  <sheetFormatPr defaultColWidth="10.81640625" defaultRowHeight="14.5" x14ac:dyDescent="0.35"/>
  <cols>
    <col min="1" max="1" width="5.1796875" style="679" customWidth="1"/>
    <col min="2" max="2" width="20.7265625" style="189" customWidth="1"/>
    <col min="3" max="3" width="60.1796875" style="189" customWidth="1"/>
    <col min="4" max="4" width="14.26953125" style="189" customWidth="1"/>
    <col min="5" max="13" width="10.54296875" style="189" customWidth="1"/>
    <col min="14" max="16384" width="10.81640625" style="189"/>
  </cols>
  <sheetData>
    <row r="1" spans="1:8" ht="21.5" thickBot="1" x14ac:dyDescent="0.55000000000000004">
      <c r="A1" s="1942" t="s">
        <v>1190</v>
      </c>
      <c r="B1" s="1943"/>
      <c r="C1" s="1943"/>
      <c r="D1" s="1944"/>
      <c r="E1" s="679"/>
      <c r="F1" s="679"/>
      <c r="G1" s="679"/>
      <c r="H1" s="679"/>
    </row>
    <row r="2" spans="1:8" x14ac:dyDescent="0.35">
      <c r="B2" s="679"/>
      <c r="C2" s="679"/>
      <c r="D2" s="679"/>
      <c r="E2" s="604"/>
      <c r="F2" s="604"/>
      <c r="G2" s="679"/>
      <c r="H2" s="679"/>
    </row>
    <row r="3" spans="1:8" s="679" customFormat="1" ht="26.5" x14ac:dyDescent="0.35">
      <c r="B3" s="1672" t="s">
        <v>1191</v>
      </c>
      <c r="C3" s="1617" t="s">
        <v>1192</v>
      </c>
      <c r="E3" s="1550"/>
      <c r="F3" s="604"/>
    </row>
    <row r="4" spans="1:8" s="679" customFormat="1" x14ac:dyDescent="0.35">
      <c r="B4" s="1667" t="s">
        <v>268</v>
      </c>
      <c r="C4" s="44"/>
      <c r="E4" s="1634"/>
      <c r="F4" s="604"/>
    </row>
    <row r="5" spans="1:8" s="679" customFormat="1" ht="33.65" customHeight="1" x14ac:dyDescent="0.35">
      <c r="B5" s="1708" t="s">
        <v>264</v>
      </c>
      <c r="C5" s="1985" t="s">
        <v>1193</v>
      </c>
      <c r="D5" s="1985"/>
      <c r="E5" s="1634"/>
      <c r="F5" s="604"/>
    </row>
    <row r="6" spans="1:8" s="679" customFormat="1" x14ac:dyDescent="0.35">
      <c r="B6" s="1547"/>
      <c r="C6" s="44"/>
      <c r="E6" s="604"/>
      <c r="F6" s="604"/>
    </row>
    <row r="7" spans="1:8" s="527" customFormat="1" x14ac:dyDescent="0.35">
      <c r="A7" s="679"/>
      <c r="B7" s="1982" t="s">
        <v>1090</v>
      </c>
      <c r="C7" s="1983"/>
      <c r="D7" s="1984"/>
      <c r="E7" s="455"/>
      <c r="F7" s="455"/>
      <c r="G7" s="679"/>
      <c r="H7" s="679"/>
    </row>
    <row r="8" spans="1:8" s="527" customFormat="1" x14ac:dyDescent="0.35">
      <c r="A8" s="679"/>
      <c r="B8" s="1951" t="s">
        <v>1158</v>
      </c>
      <c r="C8" s="1952"/>
      <c r="D8" s="1962"/>
      <c r="E8" s="99"/>
      <c r="F8" s="99"/>
      <c r="G8" s="679"/>
      <c r="H8" s="679"/>
    </row>
    <row r="9" spans="1:8" s="527" customFormat="1" x14ac:dyDescent="0.35">
      <c r="A9" s="679"/>
      <c r="B9" s="1980" t="s">
        <v>1060</v>
      </c>
      <c r="C9" s="1981"/>
      <c r="D9" s="1710" t="s">
        <v>1061</v>
      </c>
      <c r="E9" s="455"/>
      <c r="F9" s="455"/>
      <c r="G9" s="679"/>
      <c r="H9" s="679"/>
    </row>
    <row r="10" spans="1:8" s="527" customFormat="1" x14ac:dyDescent="0.35">
      <c r="A10" s="679"/>
      <c r="B10" s="1953" t="s">
        <v>1093</v>
      </c>
      <c r="C10" s="1954"/>
      <c r="D10" s="1709" t="s">
        <v>181</v>
      </c>
      <c r="E10" s="605"/>
      <c r="F10" s="605"/>
      <c r="G10" s="679"/>
      <c r="H10" s="679"/>
    </row>
    <row r="11" spans="1:8" s="527" customFormat="1" x14ac:dyDescent="0.35">
      <c r="A11" s="679"/>
      <c r="B11" s="1953" t="s">
        <v>1096</v>
      </c>
      <c r="C11" s="1954"/>
      <c r="D11" s="1709" t="s">
        <v>181</v>
      </c>
      <c r="E11" s="605"/>
      <c r="F11" s="605"/>
      <c r="G11" s="679"/>
      <c r="H11" s="679"/>
    </row>
    <row r="12" spans="1:8" s="527" customFormat="1" x14ac:dyDescent="0.35">
      <c r="A12" s="679"/>
      <c r="B12" s="1953" t="s">
        <v>1099</v>
      </c>
      <c r="C12" s="1954"/>
      <c r="D12" s="1709" t="s">
        <v>1100</v>
      </c>
      <c r="E12" s="605"/>
      <c r="F12" s="605"/>
      <c r="G12" s="679"/>
      <c r="H12" s="679"/>
    </row>
    <row r="13" spans="1:8" s="527" customFormat="1" x14ac:dyDescent="0.35">
      <c r="A13" s="679"/>
      <c r="B13" s="1953" t="s">
        <v>1103</v>
      </c>
      <c r="C13" s="1954"/>
      <c r="D13" s="1709" t="s">
        <v>1100</v>
      </c>
      <c r="E13" s="605"/>
      <c r="F13" s="605"/>
      <c r="G13" s="679"/>
      <c r="H13" s="679"/>
    </row>
    <row r="14" spans="1:8" s="527" customFormat="1" x14ac:dyDescent="0.35">
      <c r="A14" s="679"/>
      <c r="B14" s="1953" t="s">
        <v>1106</v>
      </c>
      <c r="C14" s="1954"/>
      <c r="D14" s="1709" t="s">
        <v>1107</v>
      </c>
      <c r="E14" s="605"/>
      <c r="F14" s="605"/>
      <c r="G14" s="679"/>
      <c r="H14" s="679"/>
    </row>
    <row r="15" spans="1:8" s="527" customFormat="1" x14ac:dyDescent="0.35">
      <c r="A15" s="679"/>
      <c r="B15" s="1953" t="s">
        <v>1110</v>
      </c>
      <c r="C15" s="1954"/>
      <c r="D15" s="1709" t="s">
        <v>1107</v>
      </c>
      <c r="E15" s="605"/>
      <c r="F15" s="605"/>
      <c r="G15" s="679"/>
      <c r="H15" s="679"/>
    </row>
    <row r="16" spans="1:8" s="527" customFormat="1" x14ac:dyDescent="0.35">
      <c r="A16" s="679"/>
      <c r="B16" s="1953" t="s">
        <v>1194</v>
      </c>
      <c r="C16" s="1954"/>
      <c r="D16" s="1709" t="s">
        <v>1068</v>
      </c>
      <c r="E16" s="605"/>
      <c r="F16" s="605"/>
      <c r="G16" s="679"/>
      <c r="H16" s="679"/>
    </row>
    <row r="17" spans="1:8" s="527" customFormat="1" x14ac:dyDescent="0.35">
      <c r="A17" s="679"/>
      <c r="B17" s="1953" t="s">
        <v>1195</v>
      </c>
      <c r="C17" s="1954"/>
      <c r="D17" s="1709" t="s">
        <v>168</v>
      </c>
      <c r="E17" s="605"/>
      <c r="F17" s="605"/>
      <c r="G17" s="679"/>
      <c r="H17" s="679"/>
    </row>
    <row r="18" spans="1:8" s="527" customFormat="1" x14ac:dyDescent="0.35">
      <c r="A18" s="679"/>
      <c r="B18" s="1953" t="s">
        <v>1196</v>
      </c>
      <c r="C18" s="1954"/>
      <c r="D18" s="1709" t="s">
        <v>658</v>
      </c>
      <c r="E18" s="605"/>
      <c r="F18" s="605"/>
      <c r="G18" s="679"/>
      <c r="H18" s="679"/>
    </row>
    <row r="19" spans="1:8" s="527" customFormat="1" x14ac:dyDescent="0.35">
      <c r="A19" s="679"/>
      <c r="B19" s="1953" t="s">
        <v>1122</v>
      </c>
      <c r="C19" s="1954"/>
      <c r="D19" s="1709" t="s">
        <v>1123</v>
      </c>
      <c r="E19" s="605"/>
      <c r="F19" s="605"/>
      <c r="G19" s="679"/>
      <c r="H19" s="679"/>
    </row>
    <row r="20" spans="1:8" s="527" customFormat="1" ht="15" customHeight="1" x14ac:dyDescent="0.35">
      <c r="A20" s="679"/>
      <c r="B20" s="1978" t="s">
        <v>1126</v>
      </c>
      <c r="C20" s="1979"/>
      <c r="D20" s="607" t="s">
        <v>1127</v>
      </c>
      <c r="E20" s="606"/>
      <c r="F20" s="606"/>
      <c r="G20" s="679"/>
      <c r="H20" s="679"/>
    </row>
    <row r="21" spans="1:8" s="527" customFormat="1" x14ac:dyDescent="0.35">
      <c r="A21" s="679"/>
      <c r="B21" s="1953" t="s">
        <v>1197</v>
      </c>
      <c r="C21" s="1954"/>
      <c r="D21" s="1709" t="s">
        <v>1065</v>
      </c>
      <c r="E21" s="605"/>
      <c r="F21" s="605"/>
      <c r="G21" s="679"/>
      <c r="H21" s="679"/>
    </row>
    <row r="22" spans="1:8" s="527" customFormat="1" x14ac:dyDescent="0.35">
      <c r="A22" s="679"/>
      <c r="B22" s="1953" t="s">
        <v>1134</v>
      </c>
      <c r="C22" s="1954"/>
      <c r="D22" s="1709" t="s">
        <v>1135</v>
      </c>
      <c r="E22" s="605"/>
      <c r="F22" s="605"/>
      <c r="G22" s="679"/>
      <c r="H22" s="679"/>
    </row>
    <row r="23" spans="1:8" s="527" customFormat="1" x14ac:dyDescent="0.35">
      <c r="A23" s="679"/>
      <c r="B23" s="679"/>
      <c r="C23" s="679"/>
      <c r="D23" s="679"/>
      <c r="E23" s="679"/>
      <c r="F23" s="679"/>
      <c r="G23" s="679"/>
      <c r="H23" s="679"/>
    </row>
    <row r="24" spans="1:8" x14ac:dyDescent="0.35">
      <c r="B24" s="1946" t="s">
        <v>1198</v>
      </c>
      <c r="C24" s="1930"/>
      <c r="D24" s="1977"/>
      <c r="E24" s="559"/>
      <c r="F24" s="559"/>
      <c r="G24" s="679"/>
      <c r="H24" s="679"/>
    </row>
    <row r="25" spans="1:8" x14ac:dyDescent="0.35">
      <c r="B25" s="598">
        <f>'Downstream-Retail'!I39</f>
        <v>0.36</v>
      </c>
      <c r="C25" s="598" t="str">
        <f>'Downstream-Retail'!J39</f>
        <v>Mass of one beer without bottle, liquid only (kg)</v>
      </c>
      <c r="D25" s="643" t="str">
        <f>'Downstream-Retail'!N39</f>
        <v>A - BIER</v>
      </c>
      <c r="E25" s="190"/>
      <c r="F25" s="679"/>
      <c r="G25" s="186"/>
      <c r="H25" s="679"/>
    </row>
    <row r="26" spans="1:8" x14ac:dyDescent="0.35">
      <c r="B26" s="598">
        <f>'Downstream-Retail'!I40</f>
        <v>0.01</v>
      </c>
      <c r="C26" s="598" t="str">
        <f>'Downstream-Retail'!J40</f>
        <v>Mass of primary packaging (kg)</v>
      </c>
      <c r="D26" s="644" t="str">
        <f>'Downstream-Retail'!N40</f>
        <v>B - BIER</v>
      </c>
      <c r="E26" s="190"/>
      <c r="F26" s="679"/>
      <c r="G26" s="679"/>
      <c r="H26" s="679"/>
    </row>
    <row r="27" spans="1:8" x14ac:dyDescent="0.35">
      <c r="B27" s="598">
        <f>'Downstream-Retail'!I41</f>
        <v>4.1859999999999999</v>
      </c>
      <c r="C27" s="598" t="str">
        <f>'Downstream-Retail'!J41</f>
        <v>Specific heat capacity of beer -- water used as proxy (kJ/K kg)</v>
      </c>
      <c r="D27" s="644" t="str">
        <f>'Downstream-Retail'!N41</f>
        <v>C - Standard</v>
      </c>
      <c r="E27" s="190"/>
      <c r="F27" s="679"/>
      <c r="G27" s="679"/>
      <c r="H27" s="679"/>
    </row>
    <row r="28" spans="1:8" x14ac:dyDescent="0.35">
      <c r="B28" s="691">
        <f>'Downstream-Retail'!I42</f>
        <v>0.9</v>
      </c>
      <c r="C28" s="598" t="str">
        <f>'Downstream-Retail'!J42</f>
        <v>Specific heat capacity of glass (kJ/K kg)</v>
      </c>
      <c r="D28" s="644" t="str">
        <f>'Downstream-Retail'!N42</f>
        <v>D - BIER</v>
      </c>
      <c r="E28" s="190"/>
      <c r="F28" s="679"/>
      <c r="G28" s="679"/>
      <c r="H28" s="679"/>
    </row>
    <row r="29" spans="1:8" x14ac:dyDescent="0.35">
      <c r="B29" s="598">
        <f>'Downstream-Retail'!I43</f>
        <v>64.400000000000006</v>
      </c>
      <c r="C29" s="598" t="str">
        <f>'Downstream-Retail'!J43</f>
        <v>Temperature of retail store (deg F) (18 deg C)</v>
      </c>
      <c r="D29" s="644" t="str">
        <f>'Downstream-Retail'!N43</f>
        <v>E - BIER</v>
      </c>
      <c r="E29" s="190"/>
      <c r="F29" s="679"/>
      <c r="G29" s="679"/>
      <c r="H29" s="679"/>
    </row>
    <row r="30" spans="1:8" x14ac:dyDescent="0.35">
      <c r="B30" s="1586">
        <v>40</v>
      </c>
      <c r="C30" s="598" t="str">
        <f>'Downstream-Retail'!J44</f>
        <v>Temperature beer chilled to (deg F) (4.44 deg C)</v>
      </c>
      <c r="D30" s="644" t="str">
        <f>'Downstream-Retail'!N44</f>
        <v>F - Est./BIER</v>
      </c>
      <c r="E30" s="190"/>
      <c r="F30" s="679"/>
      <c r="G30" s="679"/>
      <c r="H30" s="679"/>
    </row>
    <row r="31" spans="1:8" x14ac:dyDescent="0.35">
      <c r="B31" s="1586">
        <v>2</v>
      </c>
      <c r="C31" s="598" t="str">
        <f>'Downstream-Retail'!J45</f>
        <v>Refrigerator storage time (days)</v>
      </c>
      <c r="D31" s="644" t="str">
        <f>'Downstream-Retail'!N45</f>
        <v>G - BIER</v>
      </c>
      <c r="E31" s="190"/>
      <c r="F31" s="679"/>
      <c r="G31" s="679"/>
      <c r="H31" s="679"/>
    </row>
    <row r="32" spans="1:8" x14ac:dyDescent="0.35">
      <c r="B32" s="1586">
        <v>0.3</v>
      </c>
      <c r="C32" s="598" t="str">
        <f>'Downstream-Retail'!J46</f>
        <v>Loads vendors/coolers multiplier -- door opening coefficient</v>
      </c>
      <c r="D32" s="644" t="str">
        <f>'Downstream-Retail'!N46</f>
        <v>H - BIER</v>
      </c>
      <c r="E32" s="190"/>
      <c r="F32" s="679"/>
      <c r="G32" s="679"/>
      <c r="H32" s="679"/>
    </row>
    <row r="33" spans="1:8" x14ac:dyDescent="0.35">
      <c r="B33" s="1586">
        <v>1.5</v>
      </c>
      <c r="C33" s="598" t="str">
        <f>'Downstream-Retail'!J47</f>
        <v>Coefficient of performance of refrigerators</v>
      </c>
      <c r="D33" s="644" t="str">
        <f>'Downstream-Retail'!N47</f>
        <v>I - BIER</v>
      </c>
      <c r="E33" s="190"/>
      <c r="F33" s="679"/>
      <c r="G33" s="1172"/>
      <c r="H33" s="679"/>
    </row>
    <row r="34" spans="1:8" x14ac:dyDescent="0.35">
      <c r="B34" s="933">
        <f>'Downstream-Retail'!I48</f>
        <v>2.7999999999999998E-4</v>
      </c>
      <c r="C34" s="598" t="str">
        <f>'Downstream-Retail'!J48</f>
        <v>Conversion kilojoule to kWh</v>
      </c>
      <c r="D34" s="644" t="str">
        <f>'Downstream-Retail'!N48</f>
        <v>J - Standard</v>
      </c>
      <c r="E34" s="190"/>
      <c r="F34" s="679"/>
      <c r="G34" s="679"/>
      <c r="H34" s="679"/>
    </row>
    <row r="35" spans="1:8" x14ac:dyDescent="0.35">
      <c r="B35" s="934">
        <f>'Downstream-Retail'!I49</f>
        <v>0.59536</v>
      </c>
      <c r="C35" s="598" t="str">
        <f>'Downstream-Retail'!J49</f>
        <v>Emissions of grid connected electricity in US (kg CO2/kwh)</v>
      </c>
      <c r="D35" s="644" t="str">
        <f>'Downstream-Retail'!N49</f>
        <v>K - BIER</v>
      </c>
      <c r="E35" s="190"/>
      <c r="F35" s="679"/>
      <c r="G35" s="679"/>
      <c r="H35" s="679"/>
    </row>
    <row r="36" spans="1:8" x14ac:dyDescent="0.35">
      <c r="B36" s="1587">
        <f>'Downstream-Retail'!I50</f>
        <v>0.9</v>
      </c>
      <c r="C36" s="692" t="str">
        <f>'Downstream-Retail'!J50</f>
        <v>Percent of product cooled at retail (some product sold room temp)</v>
      </c>
      <c r="D36" s="645" t="str">
        <f>'Downstream-Retail'!N50</f>
        <v>L - Est.</v>
      </c>
      <c r="E36" s="190"/>
      <c r="F36" s="679"/>
      <c r="G36" s="679"/>
      <c r="H36" s="679"/>
    </row>
    <row r="37" spans="1:8" s="527" customFormat="1" x14ac:dyDescent="0.35">
      <c r="A37" s="679"/>
      <c r="B37" s="191"/>
      <c r="C37" s="190"/>
      <c r="D37" s="190"/>
      <c r="E37" s="190"/>
      <c r="F37" s="679"/>
      <c r="G37" s="679"/>
      <c r="H37" s="679"/>
    </row>
    <row r="38" spans="1:8" x14ac:dyDescent="0.35">
      <c r="B38" s="1588">
        <f>((((B25*B27*(B29-B30))+(B26*B28*(B29-B30)))*((1+(B32*B31))/B33)*B34*B35*B36))</f>
        <v>5.9195199094456332E-3</v>
      </c>
      <c r="C38" s="1242" t="s">
        <v>1199</v>
      </c>
      <c r="D38" s="935"/>
      <c r="E38" s="190"/>
      <c r="F38" s="679"/>
      <c r="G38" s="679"/>
      <c r="H38" s="679"/>
    </row>
    <row r="39" spans="1:8" x14ac:dyDescent="0.35">
      <c r="B39" s="1586">
        <v>6</v>
      </c>
      <c r="C39" s="1241" t="s">
        <v>1200</v>
      </c>
      <c r="D39" s="936"/>
      <c r="E39" s="190"/>
      <c r="F39" s="679"/>
      <c r="G39" s="679"/>
      <c r="H39" s="679"/>
    </row>
    <row r="40" spans="1:8" x14ac:dyDescent="0.35">
      <c r="B40" s="1589">
        <f>B38*B39</f>
        <v>3.5517119456673796E-2</v>
      </c>
      <c r="C40" s="1241" t="s">
        <v>1201</v>
      </c>
      <c r="D40" s="936"/>
      <c r="E40" s="190"/>
      <c r="F40" s="679"/>
      <c r="G40" s="679"/>
      <c r="H40" s="679"/>
    </row>
    <row r="41" spans="1:8" ht="15" thickBot="1" x14ac:dyDescent="0.4">
      <c r="B41" s="653">
        <f>'Downstream-Retail'!B55</f>
        <v>9093333.333333334</v>
      </c>
      <c r="C41" s="193" t="str">
        <f>'Downstream-Retail'!C55</f>
        <v>Bottled and can beer shipped (6-packs)</v>
      </c>
      <c r="D41" s="937"/>
      <c r="E41" s="190"/>
      <c r="F41" s="679"/>
      <c r="G41" s="679"/>
      <c r="H41" s="679"/>
    </row>
    <row r="42" spans="1:8" ht="16" thickBot="1" x14ac:dyDescent="0.4">
      <c r="B42" s="609">
        <f>B40*B41</f>
        <v>322969.00625935371</v>
      </c>
      <c r="C42" s="507" t="s">
        <v>1202</v>
      </c>
      <c r="D42" s="608"/>
      <c r="E42" s="608"/>
      <c r="F42" s="679"/>
      <c r="G42" s="679"/>
      <c r="H42" s="679"/>
    </row>
    <row r="43" spans="1:8" ht="15" thickBot="1" x14ac:dyDescent="0.4">
      <c r="B43" s="641">
        <f>'Brewery-Control Data'!H10</f>
        <v>211225.97753999999</v>
      </c>
      <c r="C43" s="186" t="s">
        <v>276</v>
      </c>
      <c r="D43" s="679"/>
      <c r="E43" s="679"/>
      <c r="F43" s="679"/>
      <c r="G43" s="679"/>
      <c r="H43" s="679"/>
    </row>
    <row r="44" spans="1:8" s="527" customFormat="1" ht="15" thickBot="1" x14ac:dyDescent="0.4">
      <c r="A44" s="679"/>
      <c r="B44" s="932">
        <f>B42/B43</f>
        <v>1.5290212407618891</v>
      </c>
      <c r="C44" s="610" t="s">
        <v>1203</v>
      </c>
      <c r="D44" s="679"/>
      <c r="E44" s="679"/>
      <c r="F44" s="679"/>
      <c r="G44" s="679"/>
      <c r="H44" s="679"/>
    </row>
    <row r="45" spans="1:8" s="527" customFormat="1" x14ac:dyDescent="0.35">
      <c r="A45" s="679"/>
      <c r="B45" s="679"/>
      <c r="C45" s="679"/>
      <c r="D45" s="679"/>
      <c r="E45" s="679"/>
      <c r="F45" s="679"/>
      <c r="G45" s="679"/>
      <c r="H45" s="679"/>
    </row>
    <row r="46" spans="1:8" s="679" customFormat="1" x14ac:dyDescent="0.35"/>
    <row r="47" spans="1:8" s="679" customFormat="1" x14ac:dyDescent="0.35"/>
    <row r="48" spans="1:8" ht="15" thickBot="1" x14ac:dyDescent="0.4">
      <c r="A48" s="583" t="s">
        <v>499</v>
      </c>
      <c r="B48" s="748"/>
      <c r="C48" s="748"/>
      <c r="D48" s="679"/>
      <c r="E48" s="679"/>
      <c r="F48" s="679"/>
      <c r="G48" s="679"/>
      <c r="H48" s="679"/>
    </row>
    <row r="49" spans="1:16" s="514" customFormat="1" ht="15" thickTop="1" x14ac:dyDescent="0.35">
      <c r="A49" s="688" t="s">
        <v>1204</v>
      </c>
      <c r="B49" s="687"/>
      <c r="C49" s="687"/>
      <c r="D49" s="687"/>
      <c r="E49" s="687"/>
      <c r="F49" s="687"/>
      <c r="G49" s="687"/>
      <c r="H49" s="687"/>
      <c r="I49" s="687"/>
      <c r="J49" s="687"/>
      <c r="K49" s="687"/>
      <c r="L49" s="687"/>
      <c r="M49" s="687"/>
      <c r="N49" s="687"/>
      <c r="O49" s="687"/>
      <c r="P49" s="687"/>
    </row>
    <row r="50" spans="1:16" s="514" customFormat="1" x14ac:dyDescent="0.35">
      <c r="A50" s="687"/>
      <c r="B50" s="687" t="s">
        <v>1205</v>
      </c>
      <c r="C50" s="687"/>
      <c r="D50" s="687"/>
      <c r="E50" s="687"/>
      <c r="F50" s="687"/>
      <c r="G50" s="687"/>
      <c r="H50" s="687"/>
      <c r="I50" s="687"/>
      <c r="J50" s="687"/>
      <c r="K50" s="687"/>
      <c r="L50" s="687"/>
      <c r="M50" s="687"/>
      <c r="N50" s="687"/>
      <c r="O50" s="687"/>
      <c r="P50" s="687"/>
    </row>
    <row r="51" spans="1:16" x14ac:dyDescent="0.35">
      <c r="A51" s="679" t="s">
        <v>504</v>
      </c>
      <c r="B51" s="679"/>
      <c r="C51" s="679"/>
      <c r="D51" s="679"/>
      <c r="E51" s="679"/>
      <c r="F51" s="679"/>
      <c r="G51" s="687"/>
      <c r="H51" s="679"/>
      <c r="I51" s="679"/>
      <c r="J51" s="679"/>
      <c r="K51" s="679"/>
      <c r="L51" s="679"/>
      <c r="M51" s="679"/>
      <c r="N51" s="679"/>
      <c r="O51" s="679"/>
      <c r="P51" s="679"/>
    </row>
    <row r="52" spans="1:16" x14ac:dyDescent="0.35">
      <c r="A52" s="238"/>
      <c r="B52" s="679"/>
      <c r="C52" s="679"/>
      <c r="D52" s="679"/>
      <c r="E52" s="679"/>
      <c r="F52" s="679"/>
      <c r="G52" s="687"/>
      <c r="H52" s="679"/>
      <c r="I52" s="679"/>
      <c r="J52" s="679"/>
      <c r="K52" s="679"/>
      <c r="L52" s="679"/>
      <c r="M52" s="679"/>
      <c r="N52" s="679"/>
      <c r="O52" s="679"/>
      <c r="P52" s="679"/>
    </row>
    <row r="53" spans="1:16" ht="16" thickBot="1" x14ac:dyDescent="0.4">
      <c r="A53" s="1678"/>
      <c r="B53" s="1678"/>
      <c r="C53" s="1678"/>
      <c r="D53" s="1679" t="s">
        <v>72</v>
      </c>
      <c r="E53" s="1680"/>
      <c r="F53" s="1680"/>
      <c r="G53" s="1680"/>
      <c r="H53" s="1680"/>
      <c r="I53" s="1680"/>
      <c r="J53" s="1680"/>
      <c r="K53" s="1680"/>
      <c r="L53" s="1680"/>
      <c r="M53" s="1680"/>
      <c r="N53" s="1680"/>
      <c r="O53" s="1680"/>
      <c r="P53" s="1681"/>
    </row>
    <row r="54" spans="1:16" ht="15" thickTop="1" x14ac:dyDescent="0.35">
      <c r="A54" s="87"/>
      <c r="B54" s="87"/>
      <c r="C54" s="87"/>
      <c r="D54" s="87"/>
      <c r="E54" s="457"/>
      <c r="F54" s="457"/>
      <c r="G54" s="457"/>
      <c r="H54" s="457"/>
      <c r="I54" s="457"/>
      <c r="J54" s="457"/>
      <c r="K54" s="457"/>
      <c r="L54" s="457"/>
      <c r="M54" s="457"/>
      <c r="N54" s="457"/>
      <c r="O54" s="457"/>
      <c r="P54" s="457"/>
    </row>
    <row r="58" spans="1:16" x14ac:dyDescent="0.35">
      <c r="B58" s="679"/>
      <c r="C58" s="679"/>
      <c r="D58" s="679"/>
      <c r="E58" s="679"/>
      <c r="F58" s="679"/>
      <c r="G58" s="679"/>
      <c r="H58" s="679"/>
      <c r="I58" s="679"/>
      <c r="J58" s="679"/>
      <c r="K58" s="679"/>
      <c r="L58" s="679"/>
      <c r="M58" s="679"/>
      <c r="N58" s="679"/>
      <c r="O58" s="679"/>
      <c r="P58" s="679"/>
    </row>
    <row r="59" spans="1:16" x14ac:dyDescent="0.35">
      <c r="B59" s="679"/>
      <c r="C59" s="679"/>
      <c r="D59" s="679"/>
      <c r="E59" s="679"/>
      <c r="F59" s="679"/>
      <c r="G59" s="679"/>
      <c r="H59" s="679"/>
      <c r="I59" s="679"/>
      <c r="J59" s="679"/>
      <c r="K59" s="679"/>
      <c r="L59" s="679"/>
      <c r="M59" s="679"/>
      <c r="N59" s="679"/>
      <c r="O59" s="679"/>
      <c r="P59" s="679"/>
    </row>
    <row r="60" spans="1:16" x14ac:dyDescent="0.35">
      <c r="B60" s="679"/>
      <c r="C60" s="679"/>
      <c r="D60" s="679"/>
      <c r="E60" s="679"/>
      <c r="F60" s="679"/>
      <c r="G60" s="679"/>
      <c r="H60" s="679"/>
      <c r="I60" s="679"/>
      <c r="J60" s="679"/>
      <c r="K60" s="679"/>
      <c r="L60" s="679"/>
      <c r="M60" s="679"/>
      <c r="N60" s="679"/>
      <c r="O60" s="679"/>
      <c r="P60" s="679"/>
    </row>
    <row r="61" spans="1:16" x14ac:dyDescent="0.35">
      <c r="B61" s="679"/>
      <c r="C61" s="679"/>
      <c r="D61" s="679"/>
      <c r="E61" s="679"/>
      <c r="F61" s="679"/>
      <c r="G61" s="679"/>
      <c r="H61" s="679"/>
      <c r="I61" s="679"/>
      <c r="J61" s="679"/>
      <c r="K61" s="679"/>
      <c r="L61" s="679"/>
      <c r="M61" s="679"/>
      <c r="N61" s="679"/>
      <c r="O61" s="679"/>
      <c r="P61" s="679"/>
    </row>
  </sheetData>
  <mergeCells count="19">
    <mergeCell ref="B10:C10"/>
    <mergeCell ref="B9:C9"/>
    <mergeCell ref="B7:D7"/>
    <mergeCell ref="B8:D8"/>
    <mergeCell ref="A1:D1"/>
    <mergeCell ref="C5:D5"/>
    <mergeCell ref="B24:D24"/>
    <mergeCell ref="B22:C22"/>
    <mergeCell ref="B21:C21"/>
    <mergeCell ref="B20:C20"/>
    <mergeCell ref="B19:C19"/>
    <mergeCell ref="B13:C13"/>
    <mergeCell ref="B12:C12"/>
    <mergeCell ref="B11:C11"/>
    <mergeCell ref="B18:C18"/>
    <mergeCell ref="B17:C17"/>
    <mergeCell ref="B16:C16"/>
    <mergeCell ref="B15:C15"/>
    <mergeCell ref="B14:C14"/>
  </mergeCells>
  <phoneticPr fontId="44" type="noConversion"/>
  <hyperlinks>
    <hyperlink ref="B4" location="'Glossary-FAQs'!A1" display="Glossary/FAQ" xr:uid="{6CF75CAE-04F4-419E-862A-8ABC6F949E20}"/>
    <hyperlink ref="C3" location="'Welcome'!C15" display="  = Data entry needed. See color legend on Welcome tab for more info.  " xr:uid="{13F3636C-D618-4FC9-A27D-6291B615C5C1}"/>
  </hyperlinks>
  <pageMargins left="0.75" right="0.75" top="1" bottom="1" header="0.5" footer="0.5"/>
  <pageSetup paperSize="119" orientation="portrait" r:id="rId1"/>
  <ignoredErrors>
    <ignoredError sqref="B41"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theme="0" tint="-0.249977111117893"/>
  </sheetPr>
  <dimension ref="A1:T147"/>
  <sheetViews>
    <sheetView zoomScaleNormal="100" workbookViewId="0">
      <selection activeCell="A2" sqref="A2"/>
    </sheetView>
  </sheetViews>
  <sheetFormatPr defaultColWidth="11.453125" defaultRowHeight="14.5" x14ac:dyDescent="0.35"/>
  <cols>
    <col min="1" max="1" width="13.81640625" style="647" customWidth="1"/>
    <col min="2" max="2" width="14.453125" style="647" customWidth="1"/>
    <col min="3" max="3" width="12.26953125" style="647" customWidth="1"/>
    <col min="4" max="4" width="12.453125" style="647" customWidth="1"/>
    <col min="5" max="5" width="14.26953125" style="647" customWidth="1"/>
    <col min="6" max="6" width="19.7265625" style="647" customWidth="1"/>
    <col min="7" max="7" width="3.26953125" style="647" customWidth="1"/>
    <col min="8" max="8" width="14.453125" style="647" customWidth="1"/>
    <col min="9" max="9" width="13" style="647" customWidth="1"/>
    <col min="10" max="10" width="12.453125" style="647" customWidth="1"/>
    <col min="11" max="11" width="17.26953125" style="647" customWidth="1"/>
    <col min="12" max="12" width="18.453125" style="647" customWidth="1"/>
    <col min="13" max="13" width="20.81640625" style="647" customWidth="1"/>
    <col min="14" max="14" width="5.453125" style="647" customWidth="1"/>
    <col min="15" max="15" width="12.7265625" style="647" customWidth="1"/>
    <col min="16" max="16384" width="11.453125" style="647"/>
  </cols>
  <sheetData>
    <row r="1" spans="1:20" ht="21.5" thickBot="1" x14ac:dyDescent="0.55000000000000004">
      <c r="A1" s="1996" t="s">
        <v>1206</v>
      </c>
      <c r="B1" s="1997"/>
      <c r="C1" s="1997"/>
      <c r="D1" s="1997"/>
      <c r="E1" s="1997"/>
      <c r="F1" s="1997"/>
      <c r="G1" s="1997"/>
      <c r="H1" s="1997"/>
      <c r="I1" s="1997"/>
      <c r="J1" s="1997"/>
      <c r="K1" s="1997"/>
      <c r="L1" s="1997"/>
      <c r="M1" s="1998"/>
      <c r="N1" s="687"/>
      <c r="O1" s="687"/>
      <c r="P1" s="687"/>
      <c r="Q1" s="687"/>
      <c r="R1" s="687"/>
      <c r="S1" s="687"/>
      <c r="T1" s="687"/>
    </row>
    <row r="2" spans="1:20" s="687" customFormat="1" ht="21" x14ac:dyDescent="0.5">
      <c r="A2" s="1673"/>
      <c r="B2" s="1674"/>
      <c r="C2" s="1674"/>
      <c r="D2" s="1673"/>
      <c r="E2" s="1673"/>
      <c r="F2" s="1673"/>
      <c r="G2" s="1673"/>
      <c r="H2" s="1673"/>
      <c r="I2" s="1673"/>
      <c r="J2" s="1673"/>
      <c r="K2" s="1673"/>
      <c r="L2" s="1673"/>
      <c r="M2" s="1673"/>
    </row>
    <row r="3" spans="1:20" s="687" customFormat="1" ht="21" x14ac:dyDescent="0.5">
      <c r="A3" s="1673"/>
      <c r="B3" s="2001" t="s">
        <v>265</v>
      </c>
      <c r="C3" s="2002"/>
      <c r="D3" s="1617" t="s">
        <v>432</v>
      </c>
      <c r="E3" s="1673"/>
      <c r="F3" s="1673"/>
      <c r="G3" s="1673"/>
      <c r="H3" s="1673"/>
      <c r="I3" s="2003" t="s">
        <v>1207</v>
      </c>
      <c r="J3" s="2003"/>
      <c r="K3" s="2003"/>
      <c r="L3" s="2003"/>
      <c r="M3" s="2003"/>
    </row>
    <row r="4" spans="1:20" s="687" customFormat="1" ht="41.15" customHeight="1" x14ac:dyDescent="0.5">
      <c r="A4" s="1673"/>
      <c r="B4" s="1999" t="s">
        <v>1191</v>
      </c>
      <c r="C4" s="2000"/>
      <c r="D4" s="1668" t="s">
        <v>1192</v>
      </c>
      <c r="E4" s="1673"/>
      <c r="F4" s="1673"/>
      <c r="G4" s="1673"/>
      <c r="H4" s="1673"/>
      <c r="I4" s="2003"/>
      <c r="J4" s="2003"/>
      <c r="K4" s="2003"/>
      <c r="L4" s="2003"/>
      <c r="M4" s="2003"/>
    </row>
    <row r="5" spans="1:20" ht="18.5" thickBot="1" x14ac:dyDescent="0.45">
      <c r="A5" s="86"/>
      <c r="B5" s="687"/>
      <c r="C5" s="687"/>
      <c r="D5" s="687"/>
      <c r="E5" s="687"/>
      <c r="F5" s="687"/>
      <c r="G5" s="687"/>
      <c r="H5" s="687"/>
      <c r="I5" s="687"/>
      <c r="J5" s="687"/>
      <c r="K5" s="687"/>
      <c r="L5" s="687"/>
      <c r="M5" s="687"/>
      <c r="N5" s="687"/>
      <c r="O5" s="687"/>
      <c r="P5" s="457"/>
      <c r="Q5" s="687"/>
      <c r="R5" s="687"/>
      <c r="S5" s="687"/>
      <c r="T5" s="687"/>
    </row>
    <row r="6" spans="1:20" ht="15" thickBot="1" x14ac:dyDescent="0.4">
      <c r="A6" s="1841" t="s">
        <v>1208</v>
      </c>
      <c r="B6" s="1842"/>
      <c r="C6" s="1842"/>
      <c r="D6" s="1842"/>
      <c r="E6" s="1842"/>
      <c r="F6" s="1842"/>
      <c r="G6" s="1842"/>
      <c r="H6" s="1842"/>
      <c r="I6" s="1842"/>
      <c r="J6" s="1842"/>
      <c r="K6" s="1842"/>
      <c r="L6" s="1842"/>
      <c r="M6" s="1843"/>
      <c r="N6" s="687"/>
      <c r="O6" s="687"/>
      <c r="P6" s="457"/>
      <c r="Q6" s="687"/>
      <c r="R6" s="687"/>
      <c r="S6" s="687"/>
      <c r="T6" s="687"/>
    </row>
    <row r="7" spans="1:20" ht="15" customHeight="1" thickBot="1" x14ac:dyDescent="0.4">
      <c r="A7" s="1948" t="s">
        <v>1057</v>
      </c>
      <c r="B7" s="1949"/>
      <c r="C7" s="1949"/>
      <c r="D7" s="1949"/>
      <c r="E7" s="1949"/>
      <c r="F7" s="1949"/>
      <c r="G7" s="1949"/>
      <c r="H7" s="1949"/>
      <c r="I7" s="1949"/>
      <c r="J7" s="1949"/>
      <c r="K7" s="1949"/>
      <c r="L7" s="1949"/>
      <c r="M7" s="1950"/>
      <c r="N7" s="687"/>
      <c r="O7" s="687"/>
      <c r="P7" s="1669"/>
      <c r="Q7" s="1668"/>
      <c r="R7" s="687"/>
      <c r="S7" s="687"/>
      <c r="T7" s="687"/>
    </row>
    <row r="8" spans="1:20" x14ac:dyDescent="0.35">
      <c r="A8" s="651" t="s">
        <v>1058</v>
      </c>
      <c r="B8" s="650"/>
      <c r="C8" s="650"/>
      <c r="D8" s="650"/>
      <c r="E8" s="650"/>
      <c r="F8" s="650"/>
      <c r="G8" s="561"/>
      <c r="H8" s="561"/>
      <c r="I8" s="561"/>
      <c r="J8" s="561"/>
      <c r="K8" s="561"/>
      <c r="L8" s="561"/>
      <c r="M8" s="562"/>
      <c r="N8" s="687"/>
      <c r="O8" s="687"/>
      <c r="P8" s="457"/>
      <c r="Q8" s="687"/>
      <c r="R8" s="687"/>
      <c r="S8" s="687"/>
      <c r="T8" s="687"/>
    </row>
    <row r="9" spans="1:20" x14ac:dyDescent="0.35">
      <c r="A9" s="1951" t="s">
        <v>1059</v>
      </c>
      <c r="B9" s="1952"/>
      <c r="C9" s="1952"/>
      <c r="D9" s="1952"/>
      <c r="E9" s="1952"/>
      <c r="F9" s="1952"/>
      <c r="G9" s="561"/>
      <c r="H9" s="561"/>
      <c r="I9" s="561"/>
      <c r="J9" s="561"/>
      <c r="K9" s="561"/>
      <c r="L9" s="561"/>
      <c r="M9" s="562"/>
      <c r="N9" s="687"/>
      <c r="O9" s="687"/>
      <c r="P9" s="457"/>
      <c r="Q9" s="687"/>
      <c r="R9" s="687"/>
      <c r="S9" s="687"/>
      <c r="T9" s="687"/>
    </row>
    <row r="10" spans="1:20" x14ac:dyDescent="0.35">
      <c r="A10" s="1963" t="s">
        <v>1060</v>
      </c>
      <c r="B10" s="1964"/>
      <c r="C10" s="1964"/>
      <c r="D10" s="1964"/>
      <c r="E10" s="1964"/>
      <c r="F10" s="1710" t="s">
        <v>1061</v>
      </c>
      <c r="G10" s="561"/>
      <c r="H10" s="561"/>
      <c r="I10" s="561"/>
      <c r="J10" s="561"/>
      <c r="K10" s="561"/>
      <c r="L10" s="561"/>
      <c r="M10" s="562"/>
      <c r="N10" s="687"/>
      <c r="O10" s="687"/>
      <c r="P10" s="457"/>
      <c r="Q10" s="687"/>
      <c r="R10" s="687"/>
      <c r="S10" s="687"/>
      <c r="T10" s="687"/>
    </row>
    <row r="11" spans="1:20" x14ac:dyDescent="0.35">
      <c r="A11" s="1968" t="s">
        <v>1062</v>
      </c>
      <c r="B11" s="1969"/>
      <c r="C11" s="1969"/>
      <c r="D11" s="1969"/>
      <c r="E11" s="1969"/>
      <c r="F11" s="565" t="s">
        <v>1063</v>
      </c>
      <c r="G11" s="563"/>
      <c r="H11" s="563"/>
      <c r="I11" s="563"/>
      <c r="J11" s="563"/>
      <c r="K11" s="563"/>
      <c r="L11" s="563"/>
      <c r="M11" s="564"/>
      <c r="N11" s="687"/>
      <c r="O11" s="687"/>
      <c r="P11" s="1677"/>
      <c r="Q11" s="1668"/>
      <c r="R11" s="679"/>
      <c r="S11" s="687"/>
      <c r="T11" s="687"/>
    </row>
    <row r="12" spans="1:20" x14ac:dyDescent="0.35">
      <c r="A12" s="1968" t="s">
        <v>1064</v>
      </c>
      <c r="B12" s="1969"/>
      <c r="C12" s="1969"/>
      <c r="D12" s="1969"/>
      <c r="E12" s="1969"/>
      <c r="F12" s="565" t="s">
        <v>1065</v>
      </c>
      <c r="G12" s="563"/>
      <c r="H12" s="563"/>
      <c r="I12" s="563"/>
      <c r="J12" s="563"/>
      <c r="K12" s="563"/>
      <c r="L12" s="563"/>
      <c r="M12" s="564"/>
      <c r="N12" s="687"/>
      <c r="O12" s="687"/>
      <c r="P12" s="457"/>
      <c r="Q12" s="687"/>
      <c r="R12" s="687"/>
      <c r="S12" s="687"/>
      <c r="T12" s="687"/>
    </row>
    <row r="13" spans="1:20" x14ac:dyDescent="0.35">
      <c r="A13" s="1968" t="s">
        <v>1066</v>
      </c>
      <c r="B13" s="1969"/>
      <c r="C13" s="1969"/>
      <c r="D13" s="1969"/>
      <c r="E13" s="1969"/>
      <c r="F13" s="565" t="s">
        <v>1065</v>
      </c>
      <c r="G13" s="563"/>
      <c r="H13" s="563"/>
      <c r="I13" s="563"/>
      <c r="J13" s="563"/>
      <c r="K13" s="563"/>
      <c r="L13" s="563"/>
      <c r="M13" s="564"/>
      <c r="N13" s="687"/>
      <c r="O13" s="687"/>
      <c r="P13" s="687"/>
      <c r="Q13" s="687"/>
      <c r="R13" s="687"/>
      <c r="S13" s="687"/>
      <c r="T13" s="687"/>
    </row>
    <row r="14" spans="1:20" ht="15" customHeight="1" x14ac:dyDescent="0.35">
      <c r="A14" s="1968" t="s">
        <v>1067</v>
      </c>
      <c r="B14" s="1969"/>
      <c r="C14" s="1969"/>
      <c r="D14" s="1969"/>
      <c r="E14" s="1969"/>
      <c r="F14" s="565" t="s">
        <v>1068</v>
      </c>
      <c r="G14" s="563"/>
      <c r="H14" s="563"/>
      <c r="I14" s="563"/>
      <c r="J14" s="563"/>
      <c r="K14" s="563"/>
      <c r="L14" s="563"/>
      <c r="M14" s="564"/>
      <c r="N14" s="687"/>
      <c r="O14" s="687"/>
      <c r="P14" s="687"/>
      <c r="Q14" s="687"/>
      <c r="R14" s="687"/>
      <c r="S14" s="687"/>
      <c r="T14" s="687"/>
    </row>
    <row r="15" spans="1:20" x14ac:dyDescent="0.35">
      <c r="A15" s="1959" t="s">
        <v>1069</v>
      </c>
      <c r="B15" s="1960"/>
      <c r="C15" s="1960"/>
      <c r="D15" s="1960"/>
      <c r="E15" s="1960"/>
      <c r="F15" s="1970" t="s">
        <v>1070</v>
      </c>
      <c r="G15" s="1251" t="s">
        <v>1209</v>
      </c>
      <c r="H15" s="563"/>
      <c r="I15" s="563"/>
      <c r="J15" s="563"/>
      <c r="K15" s="563"/>
      <c r="L15" s="563"/>
      <c r="M15" s="564"/>
      <c r="N15" s="687"/>
      <c r="O15" s="687"/>
      <c r="P15" s="687"/>
      <c r="Q15" s="687"/>
      <c r="R15" s="687"/>
      <c r="S15" s="687"/>
      <c r="T15" s="687"/>
    </row>
    <row r="16" spans="1:20" x14ac:dyDescent="0.35">
      <c r="A16" s="1959"/>
      <c r="B16" s="1960"/>
      <c r="C16" s="1960"/>
      <c r="D16" s="1960"/>
      <c r="E16" s="1960"/>
      <c r="F16" s="1970"/>
      <c r="G16" s="563"/>
      <c r="H16" s="563"/>
      <c r="I16" s="563"/>
      <c r="J16" s="563"/>
      <c r="K16" s="563"/>
      <c r="L16" s="563"/>
      <c r="M16" s="564"/>
      <c r="N16" s="687"/>
      <c r="O16" s="687"/>
      <c r="P16" s="687"/>
      <c r="Q16" s="687"/>
      <c r="R16" s="687"/>
      <c r="S16" s="687"/>
      <c r="T16" s="687"/>
    </row>
    <row r="17" spans="1:13" x14ac:dyDescent="0.35">
      <c r="A17" s="560"/>
      <c r="B17" s="1494"/>
      <c r="C17" s="1494"/>
      <c r="D17" s="1494"/>
      <c r="E17" s="1494"/>
      <c r="F17" s="563"/>
      <c r="G17" s="563"/>
      <c r="H17" s="563"/>
      <c r="I17" s="563"/>
      <c r="J17" s="563"/>
      <c r="K17" s="563"/>
      <c r="L17" s="563"/>
      <c r="M17" s="564"/>
    </row>
    <row r="18" spans="1:13" x14ac:dyDescent="0.35">
      <c r="A18" s="1929" t="s">
        <v>1071</v>
      </c>
      <c r="B18" s="1930"/>
      <c r="C18" s="1930"/>
      <c r="D18" s="1930"/>
      <c r="E18" s="1930"/>
      <c r="F18" s="1961"/>
      <c r="G18" s="457"/>
      <c r="H18" s="1946" t="s">
        <v>1210</v>
      </c>
      <c r="I18" s="1930"/>
      <c r="J18" s="1930"/>
      <c r="K18" s="1930"/>
      <c r="L18" s="1930"/>
      <c r="M18" s="1961"/>
    </row>
    <row r="19" spans="1:13" x14ac:dyDescent="0.35">
      <c r="A19" s="1528">
        <v>126000</v>
      </c>
      <c r="B19" s="457" t="s">
        <v>1211</v>
      </c>
      <c r="C19" s="457"/>
      <c r="D19" s="457"/>
      <c r="E19" s="457"/>
      <c r="F19" s="682"/>
      <c r="G19" s="457"/>
      <c r="H19" s="1586">
        <v>52.5</v>
      </c>
      <c r="I19" s="190" t="s">
        <v>1212</v>
      </c>
      <c r="J19" s="457"/>
      <c r="K19" s="457"/>
      <c r="L19" s="457"/>
      <c r="M19" s="682"/>
    </row>
    <row r="20" spans="1:13" x14ac:dyDescent="0.35">
      <c r="A20" s="1590">
        <v>365</v>
      </c>
      <c r="B20" s="457" t="s">
        <v>1213</v>
      </c>
      <c r="C20" s="457"/>
      <c r="D20" s="457"/>
      <c r="E20" s="457"/>
      <c r="F20" s="682"/>
      <c r="G20" s="457"/>
      <c r="H20" s="1592">
        <v>46755</v>
      </c>
      <c r="I20" s="190" t="s">
        <v>1214</v>
      </c>
      <c r="J20" s="689"/>
      <c r="K20" s="457"/>
      <c r="L20" s="457"/>
      <c r="M20" s="682"/>
    </row>
    <row r="21" spans="1:13" x14ac:dyDescent="0.35">
      <c r="A21" s="587">
        <f>A19/A20</f>
        <v>345.20547945205482</v>
      </c>
      <c r="B21" s="573" t="s">
        <v>1072</v>
      </c>
      <c r="C21" s="568" t="s">
        <v>1073</v>
      </c>
      <c r="D21" s="457"/>
      <c r="E21" s="457"/>
      <c r="F21" s="682"/>
      <c r="G21" s="457"/>
      <c r="H21" s="597">
        <f>H19*H20</f>
        <v>2454637.5</v>
      </c>
      <c r="I21" s="190" t="s">
        <v>1215</v>
      </c>
      <c r="J21" s="190"/>
      <c r="K21" s="457"/>
      <c r="L21" s="457"/>
      <c r="M21" s="682"/>
    </row>
    <row r="22" spans="1:13" x14ac:dyDescent="0.35">
      <c r="A22" s="458"/>
      <c r="B22" s="457"/>
      <c r="C22" s="457"/>
      <c r="D22" s="457"/>
      <c r="E22" s="457"/>
      <c r="F22" s="682"/>
      <c r="G22" s="457"/>
      <c r="H22" s="598">
        <v>365</v>
      </c>
      <c r="I22" s="457" t="s">
        <v>1213</v>
      </c>
      <c r="J22" s="190"/>
      <c r="K22" s="457"/>
      <c r="L22" s="457"/>
      <c r="M22" s="682"/>
    </row>
    <row r="23" spans="1:13" x14ac:dyDescent="0.35">
      <c r="A23" s="1591">
        <v>2400</v>
      </c>
      <c r="B23" s="190" t="s">
        <v>1216</v>
      </c>
      <c r="C23" s="457"/>
      <c r="D23" s="457"/>
      <c r="E23" s="457"/>
      <c r="F23" s="682"/>
      <c r="G23" s="457"/>
      <c r="H23" s="593">
        <f>H21/H22</f>
        <v>6725.0342465753429</v>
      </c>
      <c r="I23" s="573" t="s">
        <v>1217</v>
      </c>
      <c r="J23" s="573"/>
      <c r="K23" s="547"/>
      <c r="L23" s="547"/>
      <c r="M23" s="568" t="s">
        <v>1073</v>
      </c>
    </row>
    <row r="24" spans="1:13" x14ac:dyDescent="0.35">
      <c r="A24" s="1590">
        <v>8.1571999999999996</v>
      </c>
      <c r="B24" s="457" t="s">
        <v>1218</v>
      </c>
      <c r="C24" s="457"/>
      <c r="D24" s="457"/>
      <c r="E24" s="457"/>
      <c r="F24" s="682"/>
      <c r="G24" s="457"/>
      <c r="H24" s="244"/>
      <c r="I24" s="457"/>
      <c r="J24" s="457"/>
      <c r="K24" s="457"/>
      <c r="L24" s="457"/>
      <c r="M24" s="682"/>
    </row>
    <row r="25" spans="1:13" x14ac:dyDescent="0.35">
      <c r="A25" s="1590">
        <v>72</v>
      </c>
      <c r="B25" s="457" t="s">
        <v>1219</v>
      </c>
      <c r="C25" s="457"/>
      <c r="D25" s="457"/>
      <c r="E25" s="457"/>
      <c r="F25" s="682"/>
      <c r="G25" s="457"/>
      <c r="H25" s="653"/>
      <c r="I25" s="190"/>
      <c r="J25" s="457"/>
      <c r="K25" s="457"/>
      <c r="L25" s="457"/>
      <c r="M25" s="682"/>
    </row>
    <row r="26" spans="1:13" x14ac:dyDescent="0.35">
      <c r="A26" s="1675">
        <v>0.2</v>
      </c>
      <c r="B26" s="457" t="s">
        <v>1220</v>
      </c>
      <c r="C26" s="457"/>
      <c r="D26" s="457"/>
      <c r="E26" s="457"/>
      <c r="F26" s="682"/>
      <c r="G26" s="457"/>
      <c r="H26" s="194"/>
      <c r="I26" s="687"/>
      <c r="J26" s="687"/>
      <c r="K26" s="687"/>
      <c r="L26" s="687"/>
      <c r="M26" s="681"/>
    </row>
    <row r="27" spans="1:13" x14ac:dyDescent="0.35">
      <c r="A27" s="538">
        <f>A23</f>
        <v>2400</v>
      </c>
      <c r="B27" s="457" t="str">
        <f>B23</f>
        <v>Average size of convenience store in US (sq ft)</v>
      </c>
      <c r="C27" s="457"/>
      <c r="D27" s="457"/>
      <c r="E27" s="457"/>
      <c r="F27" s="682"/>
      <c r="G27" s="457"/>
      <c r="H27" s="1592">
        <v>46755</v>
      </c>
      <c r="I27" s="190" t="s">
        <v>1221</v>
      </c>
      <c r="J27" s="457"/>
      <c r="K27" s="457"/>
      <c r="L27" s="457"/>
      <c r="M27" s="682"/>
    </row>
    <row r="28" spans="1:13" x14ac:dyDescent="0.35">
      <c r="A28" s="524">
        <f>A24</f>
        <v>8.1571999999999996</v>
      </c>
      <c r="B28" s="457" t="str">
        <f>B24</f>
        <v>Average size of retail refrigerator (sq ft)</v>
      </c>
      <c r="C28" s="457"/>
      <c r="D28" s="457"/>
      <c r="E28" s="457"/>
      <c r="F28" s="682"/>
      <c r="G28" s="457"/>
      <c r="H28" s="1538">
        <v>42.145800000000001</v>
      </c>
      <c r="I28" s="457" t="s">
        <v>1222</v>
      </c>
      <c r="J28" s="457"/>
      <c r="K28" s="457"/>
      <c r="L28" s="457"/>
      <c r="M28" s="682"/>
    </row>
    <row r="29" spans="1:13" x14ac:dyDescent="0.35">
      <c r="A29" s="541">
        <f>A28/A27</f>
        <v>3.3988333333333331E-3</v>
      </c>
      <c r="B29" s="457" t="s">
        <v>1223</v>
      </c>
      <c r="C29" s="457"/>
      <c r="D29" s="457"/>
      <c r="E29" s="457"/>
      <c r="F29" s="682"/>
      <c r="G29" s="457"/>
      <c r="H29" s="599">
        <f>H28/H27</f>
        <v>9.0141803015720244E-4</v>
      </c>
      <c r="I29" s="457" t="s">
        <v>1223</v>
      </c>
      <c r="J29" s="457"/>
      <c r="K29" s="457"/>
      <c r="L29" s="457"/>
      <c r="M29" s="682"/>
    </row>
    <row r="30" spans="1:13" x14ac:dyDescent="0.35">
      <c r="A30" s="540">
        <f>A26</f>
        <v>0.2</v>
      </c>
      <c r="B30" s="457" t="s">
        <v>1224</v>
      </c>
      <c r="C30" s="457"/>
      <c r="D30" s="457"/>
      <c r="E30" s="457"/>
      <c r="F30" s="682"/>
      <c r="G30" s="457"/>
      <c r="H30" s="1676">
        <v>8.3199999999999996E-2</v>
      </c>
      <c r="I30" s="457" t="s">
        <v>1220</v>
      </c>
      <c r="J30" s="457"/>
      <c r="K30" s="457"/>
      <c r="L30" s="457"/>
      <c r="M30" s="682"/>
    </row>
    <row r="31" spans="1:13" x14ac:dyDescent="0.35">
      <c r="A31" s="652">
        <f>A29*A30</f>
        <v>6.7976666666666669E-4</v>
      </c>
      <c r="B31" s="573" t="s">
        <v>1225</v>
      </c>
      <c r="C31" s="574"/>
      <c r="D31" s="574"/>
      <c r="E31" s="547"/>
      <c r="F31" s="568" t="s">
        <v>1075</v>
      </c>
      <c r="G31" s="457"/>
      <c r="H31" s="572">
        <f>H29*H30</f>
        <v>7.4997980109079237E-5</v>
      </c>
      <c r="I31" s="573" t="s">
        <v>1226</v>
      </c>
      <c r="J31" s="574"/>
      <c r="K31" s="574"/>
      <c r="L31" s="574"/>
      <c r="M31" s="568" t="s">
        <v>1075</v>
      </c>
    </row>
    <row r="32" spans="1:13" x14ac:dyDescent="0.35">
      <c r="A32" s="458"/>
      <c r="B32" s="457"/>
      <c r="C32" s="457"/>
      <c r="D32" s="457"/>
      <c r="E32" s="457"/>
      <c r="F32" s="682"/>
      <c r="G32" s="457"/>
      <c r="H32" s="244"/>
      <c r="I32" s="457"/>
      <c r="J32" s="457"/>
      <c r="K32" s="457"/>
      <c r="L32" s="457"/>
      <c r="M32" s="682"/>
    </row>
    <row r="33" spans="1:20" x14ac:dyDescent="0.35">
      <c r="A33" s="458">
        <f>A25</f>
        <v>72</v>
      </c>
      <c r="B33" s="457" t="str">
        <f>B25</f>
        <v>Capacity of avg size refrig for all products (6-packs)</v>
      </c>
      <c r="C33" s="457"/>
      <c r="D33" s="457"/>
      <c r="E33" s="457"/>
      <c r="F33" s="682"/>
      <c r="G33" s="457"/>
      <c r="H33" s="1538">
        <v>372</v>
      </c>
      <c r="I33" s="457" t="s">
        <v>1219</v>
      </c>
      <c r="J33" s="457"/>
      <c r="K33" s="457"/>
      <c r="L33" s="457"/>
      <c r="M33" s="682"/>
      <c r="N33" s="687"/>
      <c r="O33" s="687"/>
      <c r="P33" s="687"/>
      <c r="Q33" s="687"/>
      <c r="R33" s="687"/>
      <c r="S33" s="687"/>
      <c r="T33" s="687"/>
    </row>
    <row r="34" spans="1:20" x14ac:dyDescent="0.35">
      <c r="A34" s="540">
        <f>A26</f>
        <v>0.2</v>
      </c>
      <c r="B34" s="457" t="s">
        <v>1224</v>
      </c>
      <c r="C34" s="457"/>
      <c r="D34" s="457"/>
      <c r="E34" s="457"/>
      <c r="F34" s="682"/>
      <c r="G34" s="457"/>
      <c r="H34" s="599">
        <f>H30</f>
        <v>8.3199999999999996E-2</v>
      </c>
      <c r="I34" s="457" t="s">
        <v>1224</v>
      </c>
      <c r="J34" s="457"/>
      <c r="K34" s="457"/>
      <c r="L34" s="457"/>
      <c r="M34" s="682"/>
      <c r="N34" s="687"/>
      <c r="O34" s="687"/>
      <c r="P34" s="687"/>
      <c r="Q34" s="687"/>
      <c r="R34" s="687"/>
      <c r="S34" s="687"/>
      <c r="T34" s="687"/>
    </row>
    <row r="35" spans="1:20" x14ac:dyDescent="0.35">
      <c r="A35" s="542">
        <f>A33*A34</f>
        <v>14.4</v>
      </c>
      <c r="B35" s="457" t="s">
        <v>1227</v>
      </c>
      <c r="C35" s="457"/>
      <c r="D35" s="457"/>
      <c r="E35" s="457"/>
      <c r="F35" s="682"/>
      <c r="G35" s="457"/>
      <c r="H35" s="600">
        <f>H33*H34</f>
        <v>30.950399999999998</v>
      </c>
      <c r="I35" s="457" t="s">
        <v>1227</v>
      </c>
      <c r="J35" s="457"/>
      <c r="K35" s="457"/>
      <c r="L35" s="457"/>
      <c r="M35" s="682"/>
      <c r="N35" s="687"/>
      <c r="O35" s="687"/>
      <c r="P35" s="687"/>
      <c r="Q35" s="687"/>
      <c r="R35" s="687"/>
      <c r="S35" s="687"/>
      <c r="T35" s="687"/>
    </row>
    <row r="36" spans="1:20" x14ac:dyDescent="0.35">
      <c r="A36" s="458">
        <v>1</v>
      </c>
      <c r="B36" s="457" t="s">
        <v>1228</v>
      </c>
      <c r="C36" s="457"/>
      <c r="D36" s="457"/>
      <c r="E36" s="457"/>
      <c r="F36" s="682"/>
      <c r="G36" s="457"/>
      <c r="H36" s="244">
        <v>1</v>
      </c>
      <c r="I36" s="457" t="s">
        <v>1228</v>
      </c>
      <c r="J36" s="457"/>
      <c r="K36" s="457"/>
      <c r="L36" s="457"/>
      <c r="M36" s="682"/>
      <c r="N36" s="687"/>
      <c r="O36" s="687"/>
      <c r="P36" s="687"/>
      <c r="Q36" s="687"/>
      <c r="R36" s="687"/>
      <c r="S36" s="687"/>
      <c r="T36" s="687"/>
    </row>
    <row r="37" spans="1:20" x14ac:dyDescent="0.35">
      <c r="A37" s="588">
        <f>A36/A35</f>
        <v>6.9444444444444448E-2</v>
      </c>
      <c r="B37" s="573" t="s">
        <v>1076</v>
      </c>
      <c r="C37" s="574"/>
      <c r="D37" s="574"/>
      <c r="E37" s="574"/>
      <c r="F37" s="568" t="s">
        <v>330</v>
      </c>
      <c r="G37" s="457"/>
      <c r="H37" s="575">
        <f>H36/H35</f>
        <v>3.2309760132340777E-2</v>
      </c>
      <c r="I37" s="573" t="s">
        <v>1076</v>
      </c>
      <c r="J37" s="574"/>
      <c r="K37" s="574"/>
      <c r="L37" s="574"/>
      <c r="M37" s="568" t="s">
        <v>330</v>
      </c>
      <c r="N37" s="687"/>
      <c r="O37" s="687"/>
      <c r="P37" s="687"/>
      <c r="Q37" s="687"/>
      <c r="R37" s="687"/>
      <c r="S37" s="687"/>
      <c r="T37" s="687"/>
    </row>
    <row r="38" spans="1:20" x14ac:dyDescent="0.35">
      <c r="A38" s="458"/>
      <c r="B38" s="457"/>
      <c r="C38" s="457"/>
      <c r="D38" s="457"/>
      <c r="E38" s="457"/>
      <c r="F38" s="682"/>
      <c r="G38" s="457"/>
      <c r="H38" s="244"/>
      <c r="I38" s="457"/>
      <c r="J38" s="457"/>
      <c r="K38" s="457"/>
      <c r="L38" s="457"/>
      <c r="M38" s="682"/>
      <c r="N38" s="687"/>
      <c r="O38" s="687"/>
      <c r="P38" s="687"/>
      <c r="Q38" s="687"/>
      <c r="R38" s="687"/>
      <c r="S38" s="687"/>
      <c r="T38" s="687"/>
    </row>
    <row r="39" spans="1:20" x14ac:dyDescent="0.35">
      <c r="A39" s="589">
        <v>4</v>
      </c>
      <c r="B39" s="573" t="s">
        <v>1077</v>
      </c>
      <c r="C39" s="574"/>
      <c r="D39" s="574"/>
      <c r="E39" s="574"/>
      <c r="F39" s="568" t="s">
        <v>1078</v>
      </c>
      <c r="G39" s="457"/>
      <c r="H39" s="576">
        <v>4</v>
      </c>
      <c r="I39" s="573" t="s">
        <v>1077</v>
      </c>
      <c r="J39" s="574"/>
      <c r="K39" s="574"/>
      <c r="L39" s="574"/>
      <c r="M39" s="568" t="s">
        <v>1078</v>
      </c>
      <c r="N39" s="687"/>
      <c r="O39" s="687"/>
      <c r="P39" s="687"/>
      <c r="Q39" s="687"/>
      <c r="R39" s="687"/>
      <c r="S39" s="687"/>
      <c r="T39" s="687"/>
    </row>
    <row r="40" spans="1:20" x14ac:dyDescent="0.35">
      <c r="A40" s="458"/>
      <c r="B40" s="457"/>
      <c r="C40" s="457"/>
      <c r="D40" s="457"/>
      <c r="E40" s="457"/>
      <c r="F40" s="682"/>
      <c r="G40" s="457"/>
      <c r="H40" s="244"/>
      <c r="I40" s="457"/>
      <c r="J40" s="457"/>
      <c r="K40" s="457"/>
      <c r="L40" s="457"/>
      <c r="M40" s="682"/>
      <c r="N40" s="687"/>
      <c r="O40" s="687"/>
      <c r="P40" s="687"/>
      <c r="Q40" s="687"/>
      <c r="R40" s="687"/>
      <c r="S40" s="687"/>
      <c r="T40" s="687"/>
    </row>
    <row r="41" spans="1:20" x14ac:dyDescent="0.35">
      <c r="A41" s="590">
        <v>0.59536</v>
      </c>
      <c r="B41" s="192" t="s">
        <v>1229</v>
      </c>
      <c r="C41" s="578"/>
      <c r="D41" s="578"/>
      <c r="E41" s="578"/>
      <c r="F41" s="579"/>
      <c r="G41" s="457"/>
      <c r="H41" s="577">
        <f>A41</f>
        <v>0.59536</v>
      </c>
      <c r="I41" s="192" t="s">
        <v>1229</v>
      </c>
      <c r="J41" s="578"/>
      <c r="K41" s="578"/>
      <c r="L41" s="578"/>
      <c r="M41" s="579"/>
      <c r="N41" s="687"/>
      <c r="O41" s="687"/>
      <c r="P41" s="687"/>
      <c r="Q41" s="687"/>
      <c r="R41" s="687"/>
      <c r="S41" s="687"/>
      <c r="T41" s="687"/>
    </row>
    <row r="42" spans="1:20" x14ac:dyDescent="0.35">
      <c r="A42" s="591"/>
      <c r="B42" s="246"/>
      <c r="C42" s="246"/>
      <c r="D42" s="246"/>
      <c r="E42" s="246"/>
      <c r="F42" s="569" t="s">
        <v>1080</v>
      </c>
      <c r="G42" s="457"/>
      <c r="H42" s="248"/>
      <c r="I42" s="246"/>
      <c r="J42" s="246"/>
      <c r="K42" s="246"/>
      <c r="L42" s="246"/>
      <c r="M42" s="569" t="s">
        <v>1080</v>
      </c>
      <c r="N42" s="687"/>
      <c r="O42" s="687"/>
      <c r="P42" s="687"/>
      <c r="Q42" s="687"/>
      <c r="R42" s="687"/>
      <c r="S42" s="687"/>
      <c r="T42" s="687"/>
    </row>
    <row r="43" spans="1:20" x14ac:dyDescent="0.35">
      <c r="A43" s="1593">
        <f>A21*A31*A37*A39*A41</f>
        <v>3.8807413406392703E-2</v>
      </c>
      <c r="B43" s="190" t="s">
        <v>1230</v>
      </c>
      <c r="C43" s="457"/>
      <c r="D43" s="457"/>
      <c r="E43" s="457"/>
      <c r="F43" s="682"/>
      <c r="G43" s="457"/>
      <c r="H43" s="1595">
        <f>H23*H31*H37*H39*H41</f>
        <v>3.880765895183385E-2</v>
      </c>
      <c r="I43" s="190" t="s">
        <v>1231</v>
      </c>
      <c r="J43" s="108"/>
      <c r="K43" s="457"/>
      <c r="L43" s="457"/>
      <c r="M43" s="682"/>
      <c r="N43" s="687"/>
      <c r="O43" s="688"/>
      <c r="P43" s="687"/>
      <c r="Q43" s="687"/>
      <c r="R43" s="687"/>
      <c r="S43" s="687"/>
      <c r="T43" s="687"/>
    </row>
    <row r="44" spans="1:20" x14ac:dyDescent="0.35">
      <c r="A44" s="458">
        <v>6</v>
      </c>
      <c r="B44" s="457" t="s">
        <v>1082</v>
      </c>
      <c r="C44" s="457"/>
      <c r="D44" s="457"/>
      <c r="E44" s="457"/>
      <c r="F44" s="682"/>
      <c r="G44" s="457"/>
      <c r="H44" s="585">
        <v>6</v>
      </c>
      <c r="I44" s="108" t="str">
        <f>B44</f>
        <v>Conversion Factor (6-pack to bottle)</v>
      </c>
      <c r="J44" s="108"/>
      <c r="K44" s="457"/>
      <c r="L44" s="457"/>
      <c r="M44" s="682"/>
      <c r="N44" s="687"/>
      <c r="O44" s="687"/>
      <c r="P44" s="687"/>
      <c r="Q44" s="687"/>
      <c r="R44" s="687"/>
      <c r="S44" s="687"/>
      <c r="T44" s="687"/>
    </row>
    <row r="45" spans="1:20" ht="15.75" customHeight="1" x14ac:dyDescent="0.35">
      <c r="A45" s="1594">
        <f>A43/A44</f>
        <v>6.4679022343987836E-3</v>
      </c>
      <c r="B45" s="581" t="s">
        <v>1232</v>
      </c>
      <c r="C45" s="246"/>
      <c r="D45" s="246"/>
      <c r="E45" s="246"/>
      <c r="F45" s="544"/>
      <c r="G45" s="246"/>
      <c r="H45" s="1596">
        <f>H43/H44</f>
        <v>6.4679431586389747E-3</v>
      </c>
      <c r="I45" s="581" t="s">
        <v>1233</v>
      </c>
      <c r="J45" s="586"/>
      <c r="K45" s="246"/>
      <c r="L45" s="246"/>
      <c r="M45" s="544"/>
      <c r="N45" s="687"/>
      <c r="O45" s="687"/>
      <c r="P45" s="687"/>
      <c r="Q45" s="687"/>
      <c r="R45" s="687"/>
      <c r="S45" s="687"/>
      <c r="T45" s="687"/>
    </row>
    <row r="46" spans="1:20" x14ac:dyDescent="0.35">
      <c r="A46" s="1986" t="s">
        <v>1234</v>
      </c>
      <c r="B46" s="1987"/>
      <c r="C46" s="1987"/>
      <c r="D46" s="1987"/>
      <c r="E46" s="1987"/>
      <c r="F46" s="1987"/>
      <c r="G46" s="1987"/>
      <c r="H46" s="1987"/>
      <c r="I46" s="1987"/>
      <c r="J46" s="1987"/>
      <c r="K46" s="1987"/>
      <c r="L46" s="1987"/>
      <c r="M46" s="1988"/>
      <c r="N46" s="687"/>
      <c r="O46" s="687"/>
      <c r="P46" s="687"/>
      <c r="Q46" s="687"/>
      <c r="R46" s="687"/>
      <c r="S46" s="687"/>
      <c r="T46" s="687"/>
    </row>
    <row r="47" spans="1:20" ht="15" thickBot="1" x14ac:dyDescent="0.4">
      <c r="A47" s="550"/>
      <c r="B47" s="534"/>
      <c r="C47" s="457"/>
      <c r="D47" s="457"/>
      <c r="E47" s="457"/>
      <c r="F47" s="457"/>
      <c r="G47" s="457"/>
      <c r="H47" s="689"/>
      <c r="I47" s="689"/>
      <c r="J47" s="689"/>
      <c r="K47" s="689"/>
      <c r="L47" s="689"/>
      <c r="M47" s="106"/>
      <c r="N47" s="687"/>
      <c r="O47" s="687"/>
      <c r="P47" s="687"/>
      <c r="Q47" s="687"/>
      <c r="R47" s="687"/>
      <c r="S47" s="687"/>
      <c r="T47" s="687"/>
    </row>
    <row r="48" spans="1:20" ht="15" thickBot="1" x14ac:dyDescent="0.4">
      <c r="A48" s="1948" t="s">
        <v>1089</v>
      </c>
      <c r="B48" s="1949"/>
      <c r="C48" s="1949"/>
      <c r="D48" s="1949"/>
      <c r="E48" s="1949"/>
      <c r="F48" s="1949"/>
      <c r="G48" s="1949"/>
      <c r="H48" s="1949"/>
      <c r="I48" s="1949"/>
      <c r="J48" s="1949"/>
      <c r="K48" s="1949"/>
      <c r="L48" s="1949"/>
      <c r="M48" s="1950"/>
      <c r="N48" s="687"/>
      <c r="O48" s="687"/>
      <c r="P48" s="687"/>
      <c r="Q48" s="687"/>
      <c r="R48" s="687"/>
      <c r="S48" s="687"/>
      <c r="T48" s="687"/>
    </row>
    <row r="49" spans="1:20" x14ac:dyDescent="0.35">
      <c r="A49" s="1973" t="s">
        <v>1090</v>
      </c>
      <c r="B49" s="1974"/>
      <c r="C49" s="1974"/>
      <c r="D49" s="1974"/>
      <c r="E49" s="1974"/>
      <c r="F49" s="1974"/>
      <c r="G49" s="188"/>
      <c r="H49" s="526"/>
      <c r="I49" s="526"/>
      <c r="J49" s="526"/>
      <c r="K49" s="526"/>
      <c r="L49" s="526"/>
      <c r="M49" s="584"/>
      <c r="N49" s="687"/>
      <c r="O49" s="687"/>
      <c r="P49" s="687"/>
      <c r="Q49" s="687"/>
      <c r="R49" s="687"/>
      <c r="S49" s="687"/>
      <c r="T49" s="687"/>
    </row>
    <row r="50" spans="1:20" x14ac:dyDescent="0.35">
      <c r="A50" s="1951" t="s">
        <v>1091</v>
      </c>
      <c r="B50" s="1952"/>
      <c r="C50" s="1952"/>
      <c r="D50" s="1952"/>
      <c r="E50" s="1952"/>
      <c r="F50" s="1952"/>
      <c r="G50" s="689"/>
      <c r="H50" s="457"/>
      <c r="I50" s="457"/>
      <c r="J50" s="457"/>
      <c r="K50" s="457"/>
      <c r="L50" s="457"/>
      <c r="M50" s="106"/>
      <c r="N50" s="687"/>
      <c r="O50" s="687"/>
      <c r="P50" s="687"/>
      <c r="Q50" s="687"/>
      <c r="R50" s="687"/>
      <c r="S50" s="687"/>
      <c r="T50" s="687"/>
    </row>
    <row r="51" spans="1:20" x14ac:dyDescent="0.35">
      <c r="A51" s="1963" t="s">
        <v>1060</v>
      </c>
      <c r="B51" s="1964"/>
      <c r="C51" s="1964"/>
      <c r="D51" s="1964"/>
      <c r="E51" s="1964"/>
      <c r="F51" s="1710" t="s">
        <v>1061</v>
      </c>
      <c r="G51" s="689"/>
      <c r="H51" s="1946" t="s">
        <v>1092</v>
      </c>
      <c r="I51" s="1930"/>
      <c r="J51" s="1930"/>
      <c r="K51" s="1930"/>
      <c r="L51" s="1930"/>
      <c r="M51" s="1961"/>
      <c r="N51" s="687"/>
      <c r="O51" s="687"/>
      <c r="P51" s="687"/>
      <c r="Q51" s="687"/>
      <c r="R51" s="687"/>
      <c r="S51" s="687"/>
      <c r="T51" s="687"/>
    </row>
    <row r="52" spans="1:20" x14ac:dyDescent="0.35">
      <c r="A52" s="1953" t="s">
        <v>1093</v>
      </c>
      <c r="B52" s="1954"/>
      <c r="C52" s="1954"/>
      <c r="D52" s="1954"/>
      <c r="E52" s="1955"/>
      <c r="F52" s="1709" t="s">
        <v>181</v>
      </c>
      <c r="G52" s="689"/>
      <c r="H52" s="1538">
        <v>0.36</v>
      </c>
      <c r="I52" s="457" t="s">
        <v>1094</v>
      </c>
      <c r="J52" s="457"/>
      <c r="K52" s="457"/>
      <c r="L52" s="457"/>
      <c r="M52" s="567" t="s">
        <v>1095</v>
      </c>
      <c r="N52" s="687"/>
      <c r="O52" s="687"/>
      <c r="P52" s="687"/>
      <c r="Q52" s="687"/>
      <c r="R52" s="687"/>
      <c r="S52" s="687"/>
      <c r="T52" s="687"/>
    </row>
    <row r="53" spans="1:20" x14ac:dyDescent="0.35">
      <c r="A53" s="1953" t="s">
        <v>1096</v>
      </c>
      <c r="B53" s="1954"/>
      <c r="C53" s="1954"/>
      <c r="D53" s="1954"/>
      <c r="E53" s="1955"/>
      <c r="F53" s="1709" t="s">
        <v>181</v>
      </c>
      <c r="G53" s="689"/>
      <c r="H53" s="1538">
        <v>0.01</v>
      </c>
      <c r="I53" s="457" t="s">
        <v>1097</v>
      </c>
      <c r="J53" s="457"/>
      <c r="K53" s="457"/>
      <c r="L53" s="457"/>
      <c r="M53" s="567" t="s">
        <v>1098</v>
      </c>
      <c r="N53" s="687"/>
      <c r="O53" s="687"/>
      <c r="P53" s="687"/>
      <c r="Q53" s="687"/>
      <c r="R53" s="687"/>
      <c r="S53" s="687"/>
      <c r="T53" s="687"/>
    </row>
    <row r="54" spans="1:20" x14ac:dyDescent="0.35">
      <c r="A54" s="1953" t="s">
        <v>1099</v>
      </c>
      <c r="B54" s="1954"/>
      <c r="C54" s="1954"/>
      <c r="D54" s="1954"/>
      <c r="E54" s="1955"/>
      <c r="F54" s="1709" t="s">
        <v>1100</v>
      </c>
      <c r="G54" s="689"/>
      <c r="H54" s="1538">
        <v>4.1859999999999999</v>
      </c>
      <c r="I54" s="457" t="s">
        <v>1101</v>
      </c>
      <c r="J54" s="457"/>
      <c r="K54" s="457"/>
      <c r="L54" s="457"/>
      <c r="M54" s="567" t="s">
        <v>1102</v>
      </c>
      <c r="N54" s="687"/>
      <c r="O54" s="687"/>
      <c r="P54" s="687"/>
      <c r="Q54" s="687"/>
      <c r="R54" s="687"/>
      <c r="S54" s="687"/>
      <c r="T54" s="687"/>
    </row>
    <row r="55" spans="1:20" x14ac:dyDescent="0.35">
      <c r="A55" s="1953" t="s">
        <v>1103</v>
      </c>
      <c r="B55" s="1954"/>
      <c r="C55" s="1954"/>
      <c r="D55" s="1954"/>
      <c r="E55" s="1955"/>
      <c r="F55" s="1709" t="s">
        <v>1100</v>
      </c>
      <c r="G55" s="689"/>
      <c r="H55" s="1579">
        <v>0.9</v>
      </c>
      <c r="I55" s="457" t="s">
        <v>1104</v>
      </c>
      <c r="J55" s="457"/>
      <c r="K55" s="457"/>
      <c r="L55" s="457"/>
      <c r="M55" s="567" t="s">
        <v>1105</v>
      </c>
      <c r="N55" s="687"/>
      <c r="O55" s="687"/>
      <c r="P55" s="687"/>
      <c r="Q55" s="687"/>
      <c r="R55" s="687"/>
      <c r="S55" s="687"/>
      <c r="T55" s="687"/>
    </row>
    <row r="56" spans="1:20" x14ac:dyDescent="0.35">
      <c r="A56" s="1953" t="s">
        <v>1106</v>
      </c>
      <c r="B56" s="1954"/>
      <c r="C56" s="1954"/>
      <c r="D56" s="1954"/>
      <c r="E56" s="1955"/>
      <c r="F56" s="1709" t="s">
        <v>1107</v>
      </c>
      <c r="G56" s="689"/>
      <c r="H56" s="1538">
        <v>64.400000000000006</v>
      </c>
      <c r="I56" s="457" t="s">
        <v>1108</v>
      </c>
      <c r="J56" s="457"/>
      <c r="K56" s="457"/>
      <c r="L56" s="457"/>
      <c r="M56" s="567" t="s">
        <v>1109</v>
      </c>
      <c r="N56" s="687"/>
      <c r="O56" s="687"/>
      <c r="P56" s="687"/>
      <c r="Q56" s="687"/>
      <c r="R56" s="687"/>
      <c r="S56" s="687"/>
      <c r="T56" s="687"/>
    </row>
    <row r="57" spans="1:20" x14ac:dyDescent="0.35">
      <c r="A57" s="1953" t="s">
        <v>1110</v>
      </c>
      <c r="B57" s="1954"/>
      <c r="C57" s="1954"/>
      <c r="D57" s="1954"/>
      <c r="E57" s="1955"/>
      <c r="F57" s="1709" t="s">
        <v>1107</v>
      </c>
      <c r="G57" s="689"/>
      <c r="H57" s="1538">
        <v>40</v>
      </c>
      <c r="I57" s="457" t="s">
        <v>1235</v>
      </c>
      <c r="J57" s="457"/>
      <c r="K57" s="457"/>
      <c r="L57" s="457"/>
      <c r="M57" s="567" t="s">
        <v>1236</v>
      </c>
      <c r="N57" s="687"/>
      <c r="O57" s="687"/>
      <c r="P57" s="687"/>
      <c r="Q57" s="687"/>
      <c r="R57" s="687"/>
      <c r="S57" s="687"/>
      <c r="T57" s="687"/>
    </row>
    <row r="58" spans="1:20" x14ac:dyDescent="0.35">
      <c r="A58" s="1953" t="s">
        <v>1113</v>
      </c>
      <c r="B58" s="1954"/>
      <c r="C58" s="1954"/>
      <c r="D58" s="1954"/>
      <c r="E58" s="1955"/>
      <c r="F58" s="1709" t="s">
        <v>1068</v>
      </c>
      <c r="G58" s="689"/>
      <c r="H58" s="1538">
        <v>4</v>
      </c>
      <c r="I58" s="457" t="s">
        <v>1114</v>
      </c>
      <c r="J58" s="457"/>
      <c r="K58" s="457"/>
      <c r="L58" s="457"/>
      <c r="M58" s="567" t="s">
        <v>1115</v>
      </c>
      <c r="N58" s="687"/>
      <c r="O58" s="687"/>
      <c r="P58" s="687"/>
      <c r="Q58" s="687"/>
      <c r="R58" s="687"/>
      <c r="S58" s="687"/>
      <c r="T58" s="687"/>
    </row>
    <row r="59" spans="1:20" x14ac:dyDescent="0.35">
      <c r="A59" s="1953" t="s">
        <v>1116</v>
      </c>
      <c r="B59" s="1954"/>
      <c r="C59" s="1954"/>
      <c r="D59" s="1954"/>
      <c r="E59" s="1955"/>
      <c r="F59" s="1709" t="s">
        <v>168</v>
      </c>
      <c r="G59" s="689"/>
      <c r="H59" s="1538">
        <v>3</v>
      </c>
      <c r="I59" s="457" t="s">
        <v>1117</v>
      </c>
      <c r="J59" s="457"/>
      <c r="K59" s="457"/>
      <c r="L59" s="457"/>
      <c r="M59" s="567" t="s">
        <v>1118</v>
      </c>
      <c r="N59" s="687"/>
      <c r="O59" s="687"/>
      <c r="P59" s="687"/>
      <c r="Q59" s="687"/>
      <c r="R59" s="687"/>
      <c r="S59" s="687"/>
      <c r="T59" s="687"/>
    </row>
    <row r="60" spans="1:20" x14ac:dyDescent="0.35">
      <c r="A60" s="1953" t="s">
        <v>1119</v>
      </c>
      <c r="B60" s="1954"/>
      <c r="C60" s="1954"/>
      <c r="D60" s="1954"/>
      <c r="E60" s="1955"/>
      <c r="F60" s="1709" t="s">
        <v>658</v>
      </c>
      <c r="G60" s="689"/>
      <c r="H60" s="1538">
        <v>2.5</v>
      </c>
      <c r="I60" s="457" t="s">
        <v>1120</v>
      </c>
      <c r="J60" s="457"/>
      <c r="K60" s="457"/>
      <c r="L60" s="457"/>
      <c r="M60" s="567" t="s">
        <v>1121</v>
      </c>
      <c r="N60" s="687"/>
      <c r="O60" s="687"/>
      <c r="P60" s="687"/>
      <c r="Q60" s="687"/>
      <c r="R60" s="687"/>
      <c r="S60" s="687"/>
      <c r="T60" s="687"/>
    </row>
    <row r="61" spans="1:20" x14ac:dyDescent="0.35">
      <c r="A61" s="1953" t="s">
        <v>1122</v>
      </c>
      <c r="B61" s="1954"/>
      <c r="C61" s="1954"/>
      <c r="D61" s="1954"/>
      <c r="E61" s="1955"/>
      <c r="F61" s="1709" t="s">
        <v>1123</v>
      </c>
      <c r="G61" s="689"/>
      <c r="H61" s="1538">
        <v>2.7999999999999998E-4</v>
      </c>
      <c r="I61" s="457" t="s">
        <v>1124</v>
      </c>
      <c r="J61" s="457"/>
      <c r="K61" s="457"/>
      <c r="L61" s="457"/>
      <c r="M61" s="567" t="s">
        <v>1125</v>
      </c>
      <c r="N61" s="687"/>
      <c r="O61" s="687"/>
      <c r="P61" s="687"/>
      <c r="Q61" s="687"/>
      <c r="R61" s="687"/>
      <c r="S61" s="687"/>
      <c r="T61" s="687"/>
    </row>
    <row r="62" spans="1:20" x14ac:dyDescent="0.35">
      <c r="A62" s="1956" t="s">
        <v>1126</v>
      </c>
      <c r="B62" s="1957"/>
      <c r="C62" s="1957"/>
      <c r="D62" s="1957"/>
      <c r="E62" s="1957"/>
      <c r="F62" s="1958" t="s">
        <v>1127</v>
      </c>
      <c r="G62" s="689"/>
      <c r="H62" s="1538">
        <v>0.59536</v>
      </c>
      <c r="I62" s="457" t="s">
        <v>1128</v>
      </c>
      <c r="J62" s="457"/>
      <c r="K62" s="457"/>
      <c r="L62" s="457"/>
      <c r="M62" s="567" t="s">
        <v>1129</v>
      </c>
      <c r="N62" s="687"/>
      <c r="O62" s="687"/>
      <c r="P62" s="687"/>
      <c r="Q62" s="687"/>
      <c r="R62" s="687"/>
      <c r="S62" s="687"/>
      <c r="T62" s="687"/>
    </row>
    <row r="63" spans="1:20" x14ac:dyDescent="0.35">
      <c r="A63" s="1956"/>
      <c r="B63" s="1957"/>
      <c r="C63" s="1957"/>
      <c r="D63" s="1957"/>
      <c r="E63" s="1957"/>
      <c r="F63" s="1958"/>
      <c r="G63" s="689"/>
      <c r="H63" s="1584">
        <v>0.9</v>
      </c>
      <c r="I63" s="457" t="s">
        <v>1237</v>
      </c>
      <c r="J63" s="457"/>
      <c r="K63" s="457"/>
      <c r="L63" s="457"/>
      <c r="M63" s="567" t="s">
        <v>1238</v>
      </c>
      <c r="N63" s="687"/>
      <c r="O63" s="687"/>
      <c r="P63" s="687"/>
      <c r="Q63" s="687"/>
      <c r="R63" s="687"/>
      <c r="S63" s="687"/>
      <c r="T63" s="687"/>
    </row>
    <row r="64" spans="1:20" x14ac:dyDescent="0.35">
      <c r="A64" s="1953" t="s">
        <v>1132</v>
      </c>
      <c r="B64" s="1954"/>
      <c r="C64" s="1954"/>
      <c r="D64" s="1954"/>
      <c r="E64" s="1955"/>
      <c r="F64" s="1709" t="s">
        <v>1065</v>
      </c>
      <c r="G64" s="689"/>
      <c r="H64" s="548"/>
      <c r="I64" s="457"/>
      <c r="J64" s="457"/>
      <c r="K64" s="457"/>
      <c r="L64" s="457"/>
      <c r="M64" s="682"/>
      <c r="N64" s="687"/>
      <c r="O64" s="687"/>
      <c r="P64" s="687"/>
      <c r="Q64" s="687"/>
      <c r="R64" s="687"/>
      <c r="S64" s="687"/>
      <c r="T64" s="687"/>
    </row>
    <row r="65" spans="1:20" x14ac:dyDescent="0.35">
      <c r="A65" s="1953" t="s">
        <v>1134</v>
      </c>
      <c r="B65" s="1954"/>
      <c r="C65" s="1954"/>
      <c r="D65" s="1954"/>
      <c r="E65" s="1955"/>
      <c r="F65" s="1709" t="s">
        <v>1135</v>
      </c>
      <c r="G65" s="689"/>
      <c r="H65" s="1581">
        <f>((((H52*H54*(H56-H57))+(H53*H55*(H56-H57)))*((1+(H59*H58))/H60)*H61*H62*H63))</f>
        <v>2.8857659558547466E-2</v>
      </c>
      <c r="I65" s="457" t="s">
        <v>1133</v>
      </c>
      <c r="J65" s="457"/>
      <c r="K65" s="457"/>
      <c r="L65" s="457"/>
      <c r="M65" s="682"/>
      <c r="N65" s="687"/>
      <c r="O65" s="687"/>
      <c r="P65" s="687"/>
      <c r="Q65" s="687"/>
      <c r="R65" s="687"/>
      <c r="S65" s="687"/>
      <c r="T65" s="687"/>
    </row>
    <row r="66" spans="1:20" x14ac:dyDescent="0.35">
      <c r="A66" s="49"/>
      <c r="B66" s="534"/>
      <c r="C66" s="534"/>
      <c r="D66" s="534"/>
      <c r="E66" s="534"/>
      <c r="F66" s="190"/>
      <c r="G66" s="689"/>
      <c r="H66" s="244">
        <v>6</v>
      </c>
      <c r="I66" s="457" t="s">
        <v>1136</v>
      </c>
      <c r="J66" s="457"/>
      <c r="K66" s="457"/>
      <c r="L66" s="457"/>
      <c r="M66" s="682"/>
      <c r="N66" s="687"/>
      <c r="O66" s="687"/>
      <c r="P66" s="687"/>
      <c r="Q66" s="687"/>
      <c r="R66" s="687"/>
      <c r="S66" s="687"/>
      <c r="T66" s="687"/>
    </row>
    <row r="67" spans="1:20" x14ac:dyDescent="0.35">
      <c r="A67" s="687"/>
      <c r="B67" s="687"/>
      <c r="C67" s="687"/>
      <c r="D67" s="687"/>
      <c r="E67" s="687"/>
      <c r="F67" s="687"/>
      <c r="G67" s="534"/>
      <c r="H67" s="1581">
        <f>H65*H66</f>
        <v>0.1731459573512848</v>
      </c>
      <c r="I67" s="457" t="s">
        <v>1137</v>
      </c>
      <c r="J67" s="457"/>
      <c r="K67" s="457"/>
      <c r="L67" s="457"/>
      <c r="M67" s="682"/>
      <c r="N67" s="687"/>
      <c r="O67" s="687"/>
      <c r="P67" s="687"/>
      <c r="Q67" s="687"/>
      <c r="R67" s="687"/>
      <c r="S67" s="687"/>
      <c r="T67" s="687"/>
    </row>
    <row r="68" spans="1:20" x14ac:dyDescent="0.35">
      <c r="A68" s="1986" t="s">
        <v>1234</v>
      </c>
      <c r="B68" s="1987"/>
      <c r="C68" s="1987"/>
      <c r="D68" s="1987"/>
      <c r="E68" s="1987"/>
      <c r="F68" s="1987"/>
      <c r="G68" s="1987"/>
      <c r="H68" s="1987"/>
      <c r="I68" s="1987"/>
      <c r="J68" s="1987"/>
      <c r="K68" s="1987"/>
      <c r="L68" s="1987"/>
      <c r="M68" s="1988"/>
      <c r="N68" s="687"/>
      <c r="O68" s="687"/>
      <c r="P68" s="687"/>
      <c r="Q68" s="687"/>
      <c r="R68" s="687"/>
      <c r="S68" s="687"/>
      <c r="T68" s="687"/>
    </row>
    <row r="69" spans="1:20" x14ac:dyDescent="0.35">
      <c r="A69" s="687"/>
      <c r="B69" s="687"/>
      <c r="C69" s="687"/>
      <c r="D69" s="687"/>
      <c r="E69" s="687"/>
      <c r="F69" s="687"/>
      <c r="G69" s="457"/>
      <c r="H69" s="457"/>
      <c r="I69" s="687"/>
      <c r="J69" s="687"/>
      <c r="K69" s="687"/>
      <c r="L69" s="687"/>
      <c r="M69" s="106"/>
      <c r="N69" s="687"/>
      <c r="O69" s="687"/>
      <c r="P69" s="687"/>
      <c r="Q69" s="687"/>
      <c r="R69" s="687"/>
      <c r="S69" s="687"/>
      <c r="T69" s="687"/>
    </row>
    <row r="70" spans="1:20" ht="15" thickBot="1" x14ac:dyDescent="0.4">
      <c r="A70" s="558"/>
      <c r="B70" s="534"/>
      <c r="C70" s="457"/>
      <c r="D70" s="457"/>
      <c r="E70" s="457"/>
      <c r="F70" s="457"/>
      <c r="G70" s="457"/>
      <c r="H70" s="457"/>
      <c r="I70" s="457"/>
      <c r="J70" s="457"/>
      <c r="K70" s="457"/>
      <c r="L70" s="457"/>
      <c r="M70" s="106"/>
      <c r="N70" s="687"/>
      <c r="O70" s="687"/>
      <c r="P70" s="687"/>
      <c r="Q70" s="687"/>
      <c r="R70" s="687"/>
      <c r="S70" s="687"/>
      <c r="T70" s="687"/>
    </row>
    <row r="71" spans="1:20" ht="15" thickBot="1" x14ac:dyDescent="0.4">
      <c r="A71" s="1841" t="s">
        <v>1143</v>
      </c>
      <c r="B71" s="1842"/>
      <c r="C71" s="1842"/>
      <c r="D71" s="1842"/>
      <c r="E71" s="1842"/>
      <c r="F71" s="1842"/>
      <c r="G71" s="1842"/>
      <c r="H71" s="1842"/>
      <c r="I71" s="1842"/>
      <c r="J71" s="1842"/>
      <c r="K71" s="1842"/>
      <c r="L71" s="1842"/>
      <c r="M71" s="1843"/>
      <c r="N71" s="687"/>
      <c r="O71" s="687"/>
      <c r="P71" s="687"/>
      <c r="Q71" s="687"/>
      <c r="R71" s="687"/>
      <c r="S71" s="687"/>
      <c r="T71" s="687"/>
    </row>
    <row r="72" spans="1:20" ht="15" thickBot="1" x14ac:dyDescent="0.4">
      <c r="A72" s="1948" t="s">
        <v>1144</v>
      </c>
      <c r="B72" s="1949"/>
      <c r="C72" s="1949"/>
      <c r="D72" s="1949"/>
      <c r="E72" s="1949"/>
      <c r="F72" s="1949"/>
      <c r="G72" s="1949"/>
      <c r="H72" s="1949"/>
      <c r="I72" s="1949"/>
      <c r="J72" s="1949"/>
      <c r="K72" s="1949"/>
      <c r="L72" s="1949"/>
      <c r="M72" s="1950"/>
      <c r="N72" s="687"/>
      <c r="O72" s="687"/>
      <c r="P72" s="687"/>
      <c r="Q72" s="687"/>
      <c r="R72" s="687"/>
      <c r="S72" s="687"/>
      <c r="T72" s="687"/>
    </row>
    <row r="73" spans="1:20" x14ac:dyDescent="0.35">
      <c r="A73" s="1995" t="s">
        <v>1145</v>
      </c>
      <c r="B73" s="1966"/>
      <c r="C73" s="1966"/>
      <c r="D73" s="1966"/>
      <c r="E73" s="1966"/>
      <c r="F73" s="1966"/>
      <c r="G73" s="1494"/>
      <c r="H73" s="1966"/>
      <c r="I73" s="1966"/>
      <c r="J73" s="1966"/>
      <c r="K73" s="1966"/>
      <c r="L73" s="1966"/>
      <c r="M73" s="1967"/>
      <c r="N73" s="687"/>
      <c r="O73" s="687"/>
      <c r="P73" s="687"/>
      <c r="Q73" s="687"/>
      <c r="R73" s="687"/>
      <c r="S73" s="687"/>
      <c r="T73" s="687"/>
    </row>
    <row r="74" spans="1:20" x14ac:dyDescent="0.35">
      <c r="A74" s="1992" t="s">
        <v>1059</v>
      </c>
      <c r="B74" s="1952"/>
      <c r="C74" s="1952"/>
      <c r="D74" s="1952"/>
      <c r="E74" s="1952"/>
      <c r="F74" s="1952"/>
      <c r="G74" s="1494"/>
      <c r="H74" s="1993"/>
      <c r="I74" s="1993"/>
      <c r="J74" s="1993"/>
      <c r="K74" s="1993"/>
      <c r="L74" s="1993"/>
      <c r="M74" s="1994"/>
      <c r="N74" s="687"/>
      <c r="O74" s="687"/>
      <c r="P74" s="687"/>
      <c r="Q74" s="687"/>
      <c r="R74" s="687"/>
      <c r="S74" s="687"/>
      <c r="T74" s="687"/>
    </row>
    <row r="75" spans="1:20" x14ac:dyDescent="0.35">
      <c r="A75" s="1964" t="s">
        <v>1060</v>
      </c>
      <c r="B75" s="1964"/>
      <c r="C75" s="1964"/>
      <c r="D75" s="1964"/>
      <c r="E75" s="1964"/>
      <c r="F75" s="1710" t="s">
        <v>1061</v>
      </c>
      <c r="G75" s="1494"/>
      <c r="H75" s="1966"/>
      <c r="I75" s="1966"/>
      <c r="J75" s="1966"/>
      <c r="K75" s="1966"/>
      <c r="L75" s="1966"/>
      <c r="M75" s="1711"/>
      <c r="N75" s="687"/>
      <c r="O75" s="687"/>
      <c r="P75" s="687"/>
      <c r="Q75" s="687"/>
      <c r="R75" s="687"/>
      <c r="S75" s="687"/>
      <c r="T75" s="687"/>
    </row>
    <row r="76" spans="1:20" x14ac:dyDescent="0.35">
      <c r="A76" s="1969" t="s">
        <v>1062</v>
      </c>
      <c r="B76" s="1969"/>
      <c r="C76" s="1969"/>
      <c r="D76" s="1969"/>
      <c r="E76" s="1969"/>
      <c r="F76" s="565" t="s">
        <v>1063</v>
      </c>
      <c r="G76" s="1494"/>
      <c r="H76" s="1989"/>
      <c r="I76" s="1989"/>
      <c r="J76" s="1989"/>
      <c r="K76" s="1989"/>
      <c r="L76" s="1989"/>
      <c r="M76" s="1714"/>
      <c r="N76" s="687"/>
      <c r="O76" s="687"/>
      <c r="P76" s="687"/>
      <c r="Q76" s="687"/>
      <c r="R76" s="687"/>
      <c r="S76" s="687"/>
      <c r="T76" s="687"/>
    </row>
    <row r="77" spans="1:20" x14ac:dyDescent="0.35">
      <c r="A77" s="1969" t="s">
        <v>1064</v>
      </c>
      <c r="B77" s="1969"/>
      <c r="C77" s="1969"/>
      <c r="D77" s="1969"/>
      <c r="E77" s="1969"/>
      <c r="F77" s="565" t="s">
        <v>1065</v>
      </c>
      <c r="G77" s="1494"/>
      <c r="H77" s="1989"/>
      <c r="I77" s="1989"/>
      <c r="J77" s="1989"/>
      <c r="K77" s="1989"/>
      <c r="L77" s="1989"/>
      <c r="M77" s="1714"/>
      <c r="N77" s="687"/>
      <c r="O77" s="687"/>
      <c r="P77" s="687"/>
      <c r="Q77" s="687"/>
      <c r="R77" s="687"/>
      <c r="S77" s="687"/>
      <c r="T77" s="687"/>
    </row>
    <row r="78" spans="1:20" x14ac:dyDescent="0.35">
      <c r="A78" s="1969" t="s">
        <v>1066</v>
      </c>
      <c r="B78" s="1969"/>
      <c r="C78" s="1969"/>
      <c r="D78" s="1969"/>
      <c r="E78" s="1969"/>
      <c r="F78" s="565" t="s">
        <v>1065</v>
      </c>
      <c r="G78" s="1494"/>
      <c r="H78" s="1989"/>
      <c r="I78" s="1989"/>
      <c r="J78" s="1989"/>
      <c r="K78" s="1989"/>
      <c r="L78" s="1989"/>
      <c r="M78" s="1714"/>
      <c r="N78" s="687"/>
      <c r="O78" s="687"/>
      <c r="P78" s="687"/>
      <c r="Q78" s="687"/>
      <c r="R78" s="687"/>
      <c r="S78" s="687"/>
      <c r="T78" s="687"/>
    </row>
    <row r="79" spans="1:20" x14ac:dyDescent="0.35">
      <c r="A79" s="1969" t="s">
        <v>1067</v>
      </c>
      <c r="B79" s="1969"/>
      <c r="C79" s="1969"/>
      <c r="D79" s="1969"/>
      <c r="E79" s="1969"/>
      <c r="F79" s="565" t="s">
        <v>1068</v>
      </c>
      <c r="G79" s="1494"/>
      <c r="H79" s="1989"/>
      <c r="I79" s="1989"/>
      <c r="J79" s="1989"/>
      <c r="K79" s="1989"/>
      <c r="L79" s="1989"/>
      <c r="M79" s="1714"/>
      <c r="N79" s="687"/>
      <c r="O79" s="687"/>
      <c r="P79" s="687"/>
      <c r="Q79" s="687"/>
      <c r="R79" s="687"/>
      <c r="S79" s="687"/>
      <c r="T79" s="687"/>
    </row>
    <row r="80" spans="1:20" x14ac:dyDescent="0.35">
      <c r="A80" s="1960" t="s">
        <v>1069</v>
      </c>
      <c r="B80" s="1960"/>
      <c r="C80" s="1960"/>
      <c r="D80" s="1960"/>
      <c r="E80" s="1960"/>
      <c r="F80" s="1970" t="s">
        <v>1070</v>
      </c>
      <c r="G80" s="1494"/>
      <c r="H80" s="1989"/>
      <c r="I80" s="1989"/>
      <c r="J80" s="1989"/>
      <c r="K80" s="1989"/>
      <c r="L80" s="1989"/>
      <c r="M80" s="1714"/>
      <c r="N80" s="687"/>
      <c r="O80" s="687"/>
      <c r="P80" s="687"/>
      <c r="Q80" s="687"/>
      <c r="R80" s="687"/>
      <c r="S80" s="687"/>
      <c r="T80" s="687"/>
    </row>
    <row r="81" spans="1:13" x14ac:dyDescent="0.35">
      <c r="A81" s="1960"/>
      <c r="B81" s="1960"/>
      <c r="C81" s="1960"/>
      <c r="D81" s="1960"/>
      <c r="E81" s="1960"/>
      <c r="F81" s="1970"/>
      <c r="G81" s="1494"/>
      <c r="H81" s="1989"/>
      <c r="I81" s="1989"/>
      <c r="J81" s="1989"/>
      <c r="K81" s="1989"/>
      <c r="L81" s="1989"/>
      <c r="M81" s="1714"/>
    </row>
    <row r="82" spans="1:13" x14ac:dyDescent="0.35">
      <c r="A82" s="595"/>
      <c r="B82" s="1494"/>
      <c r="C82" s="1494"/>
      <c r="D82" s="1494"/>
      <c r="E82" s="1494"/>
      <c r="F82" s="1494"/>
      <c r="G82" s="1494"/>
      <c r="H82" s="1989"/>
      <c r="I82" s="1989"/>
      <c r="J82" s="1989"/>
      <c r="K82" s="1989"/>
      <c r="L82" s="1989"/>
      <c r="M82" s="1714"/>
    </row>
    <row r="83" spans="1:13" x14ac:dyDescent="0.35">
      <c r="A83" s="1946" t="s">
        <v>1146</v>
      </c>
      <c r="B83" s="1930"/>
      <c r="C83" s="1930"/>
      <c r="D83" s="1930"/>
      <c r="E83" s="1930"/>
      <c r="F83" s="1961"/>
      <c r="G83" s="1494"/>
      <c r="H83" s="1989"/>
      <c r="I83" s="1989"/>
      <c r="J83" s="1989"/>
      <c r="K83" s="1989"/>
      <c r="L83" s="1989"/>
      <c r="M83" s="1714"/>
    </row>
    <row r="84" spans="1:13" x14ac:dyDescent="0.35">
      <c r="A84" s="1597">
        <v>126000</v>
      </c>
      <c r="B84" s="457" t="s">
        <v>1239</v>
      </c>
      <c r="C84" s="457"/>
      <c r="D84" s="457"/>
      <c r="E84" s="457"/>
      <c r="F84" s="682"/>
      <c r="G84" s="1494"/>
      <c r="H84" s="1989"/>
      <c r="I84" s="1989"/>
      <c r="J84" s="1989"/>
      <c r="K84" s="1989"/>
      <c r="L84" s="1989"/>
      <c r="M84" s="1714"/>
    </row>
    <row r="85" spans="1:13" x14ac:dyDescent="0.35">
      <c r="A85" s="1538">
        <v>365</v>
      </c>
      <c r="B85" s="457" t="s">
        <v>1240</v>
      </c>
      <c r="C85" s="457"/>
      <c r="D85" s="457"/>
      <c r="E85" s="457"/>
      <c r="F85" s="682"/>
      <c r="G85" s="1494"/>
      <c r="H85" s="1989"/>
      <c r="I85" s="1989"/>
      <c r="J85" s="1989"/>
      <c r="K85" s="1989"/>
      <c r="L85" s="1989"/>
      <c r="M85" s="1714"/>
    </row>
    <row r="86" spans="1:13" x14ac:dyDescent="0.35">
      <c r="A86" s="580">
        <f>A84/A85</f>
        <v>345.20547945205482</v>
      </c>
      <c r="B86" s="573" t="s">
        <v>1072</v>
      </c>
      <c r="C86" s="568" t="s">
        <v>1073</v>
      </c>
      <c r="D86" s="457"/>
      <c r="E86" s="457"/>
      <c r="F86" s="682"/>
      <c r="G86" s="1494"/>
      <c r="H86" s="1990"/>
      <c r="I86" s="1990"/>
      <c r="J86" s="1990"/>
      <c r="K86" s="1990"/>
      <c r="L86" s="1990"/>
      <c r="M86" s="1991"/>
    </row>
    <row r="87" spans="1:13" x14ac:dyDescent="0.35">
      <c r="A87" s="244"/>
      <c r="B87" s="457"/>
      <c r="C87" s="457"/>
      <c r="D87" s="457"/>
      <c r="E87" s="457"/>
      <c r="F87" s="682"/>
      <c r="G87" s="1494"/>
      <c r="H87" s="1990"/>
      <c r="I87" s="1990"/>
      <c r="J87" s="1990"/>
      <c r="K87" s="1990"/>
      <c r="L87" s="1990"/>
      <c r="M87" s="1991"/>
    </row>
    <row r="88" spans="1:13" x14ac:dyDescent="0.35">
      <c r="A88" s="1538">
        <v>16.5</v>
      </c>
      <c r="B88" s="457" t="s">
        <v>1241</v>
      </c>
      <c r="C88" s="457"/>
      <c r="D88" s="457"/>
      <c r="E88" s="457"/>
      <c r="F88" s="682"/>
      <c r="G88" s="1494"/>
      <c r="H88" s="1989"/>
      <c r="I88" s="1989"/>
      <c r="J88" s="1989"/>
      <c r="K88" s="1989"/>
      <c r="L88" s="1989"/>
      <c r="M88" s="1714"/>
    </row>
    <row r="89" spans="1:13" x14ac:dyDescent="0.35">
      <c r="A89" s="1538">
        <v>12</v>
      </c>
      <c r="B89" s="457" t="s">
        <v>1242</v>
      </c>
      <c r="C89" s="457"/>
      <c r="D89" s="457"/>
      <c r="E89" s="457"/>
      <c r="F89" s="682"/>
      <c r="G89" s="1494"/>
      <c r="H89" s="1989"/>
      <c r="I89" s="1989"/>
      <c r="J89" s="1989"/>
      <c r="K89" s="1989"/>
      <c r="L89" s="1989"/>
      <c r="M89" s="1714"/>
    </row>
    <row r="90" spans="1:13" x14ac:dyDescent="0.35">
      <c r="A90" s="545">
        <f>A88/A89</f>
        <v>1.375</v>
      </c>
      <c r="B90" s="457" t="s">
        <v>1243</v>
      </c>
      <c r="C90" s="457"/>
      <c r="D90" s="457"/>
      <c r="E90" s="457"/>
      <c r="F90" s="682"/>
      <c r="G90" s="1494"/>
      <c r="H90" s="1494"/>
      <c r="I90" s="1494"/>
      <c r="J90" s="1494"/>
      <c r="K90" s="1494"/>
      <c r="L90" s="1494"/>
      <c r="M90" s="596"/>
    </row>
    <row r="91" spans="1:13" x14ac:dyDescent="0.35">
      <c r="A91" s="1538">
        <v>3</v>
      </c>
      <c r="B91" s="457" t="s">
        <v>1244</v>
      </c>
      <c r="C91" s="457"/>
      <c r="D91" s="457"/>
      <c r="E91" s="457"/>
      <c r="F91" s="682"/>
      <c r="G91" s="1494"/>
      <c r="H91" s="1494"/>
      <c r="I91" s="1494"/>
      <c r="J91" s="1494"/>
      <c r="K91" s="1494"/>
      <c r="L91" s="1494"/>
      <c r="M91" s="596"/>
    </row>
    <row r="92" spans="1:13" x14ac:dyDescent="0.35">
      <c r="A92" s="545">
        <f>A90*A91</f>
        <v>4.125</v>
      </c>
      <c r="B92" s="457" t="s">
        <v>1245</v>
      </c>
      <c r="C92" s="457"/>
      <c r="D92" s="457"/>
      <c r="E92" s="457"/>
      <c r="F92" s="682"/>
      <c r="G92" s="1494"/>
      <c r="H92" s="1494"/>
      <c r="I92" s="1494"/>
      <c r="J92" s="1494"/>
      <c r="K92" s="1494"/>
      <c r="L92" s="1494"/>
      <c r="M92" s="596"/>
    </row>
    <row r="93" spans="1:13" x14ac:dyDescent="0.35">
      <c r="A93" s="1592">
        <v>2400</v>
      </c>
      <c r="B93" s="190" t="s">
        <v>1216</v>
      </c>
      <c r="C93" s="457"/>
      <c r="D93" s="457"/>
      <c r="E93" s="457"/>
      <c r="F93" s="682"/>
      <c r="G93" s="1494"/>
      <c r="H93" s="1494"/>
      <c r="I93" s="1494"/>
      <c r="J93" s="1494"/>
      <c r="K93" s="1494"/>
      <c r="L93" s="1494"/>
      <c r="M93" s="596"/>
    </row>
    <row r="94" spans="1:13" x14ac:dyDescent="0.35">
      <c r="A94" s="572">
        <f>A92/A93</f>
        <v>1.71875E-3</v>
      </c>
      <c r="B94" s="573" t="s">
        <v>1148</v>
      </c>
      <c r="C94" s="574"/>
      <c r="D94" s="574"/>
      <c r="E94" s="574"/>
      <c r="F94" s="568" t="s">
        <v>1075</v>
      </c>
      <c r="G94" s="1494"/>
      <c r="H94" s="1494"/>
      <c r="I94" s="1494"/>
      <c r="J94" s="1494"/>
      <c r="K94" s="1494"/>
      <c r="L94" s="1494"/>
      <c r="M94" s="596"/>
    </row>
    <row r="95" spans="1:13" x14ac:dyDescent="0.35">
      <c r="A95" s="244"/>
      <c r="B95" s="457"/>
      <c r="C95" s="457"/>
      <c r="D95" s="457"/>
      <c r="E95" s="457"/>
      <c r="F95" s="682"/>
      <c r="G95" s="1494"/>
      <c r="H95" s="1494"/>
      <c r="I95" s="1494"/>
      <c r="J95" s="1494"/>
      <c r="K95" s="1494"/>
      <c r="L95" s="1494"/>
      <c r="M95" s="596"/>
    </row>
    <row r="96" spans="1:13" x14ac:dyDescent="0.35">
      <c r="A96" s="244">
        <f>A90</f>
        <v>1.375</v>
      </c>
      <c r="B96" s="457" t="str">
        <f>B90</f>
        <v>Floor space used by one keg (sq ft)</v>
      </c>
      <c r="C96" s="457"/>
      <c r="D96" s="457"/>
      <c r="E96" s="457"/>
      <c r="F96" s="682"/>
      <c r="G96" s="1494"/>
      <c r="H96" s="1494"/>
      <c r="I96" s="1494"/>
      <c r="J96" s="1494"/>
      <c r="K96" s="1494"/>
      <c r="L96" s="1494"/>
      <c r="M96" s="596"/>
    </row>
    <row r="97" spans="1:13" x14ac:dyDescent="0.35">
      <c r="A97" s="683">
        <f>A92</f>
        <v>4.125</v>
      </c>
      <c r="B97" s="190" t="str">
        <f>B92</f>
        <v>Footprint of 3 kegs (sq ft)</v>
      </c>
      <c r="C97" s="457"/>
      <c r="D97" s="457"/>
      <c r="E97" s="457"/>
      <c r="F97" s="682"/>
      <c r="G97" s="1494"/>
      <c r="H97" s="1494"/>
      <c r="I97" s="1494"/>
      <c r="J97" s="1494"/>
      <c r="K97" s="1494"/>
      <c r="L97" s="1494"/>
      <c r="M97" s="596"/>
    </row>
    <row r="98" spans="1:13" x14ac:dyDescent="0.35">
      <c r="A98" s="575">
        <f>A96/A97</f>
        <v>0.33333333333333331</v>
      </c>
      <c r="B98" s="573" t="s">
        <v>1246</v>
      </c>
      <c r="C98" s="574"/>
      <c r="D98" s="574"/>
      <c r="E98" s="574"/>
      <c r="F98" s="568" t="s">
        <v>330</v>
      </c>
      <c r="G98" s="1494"/>
      <c r="H98" s="1494"/>
      <c r="I98" s="1494"/>
      <c r="J98" s="1494"/>
      <c r="K98" s="1494"/>
      <c r="L98" s="1494"/>
      <c r="M98" s="596"/>
    </row>
    <row r="99" spans="1:13" x14ac:dyDescent="0.35">
      <c r="A99" s="244"/>
      <c r="B99" s="457"/>
      <c r="C99" s="457"/>
      <c r="D99" s="457"/>
      <c r="E99" s="457"/>
      <c r="F99" s="682"/>
      <c r="G99" s="1494"/>
      <c r="H99" s="1494"/>
      <c r="I99" s="1494"/>
      <c r="J99" s="1494"/>
      <c r="K99" s="1494"/>
      <c r="L99" s="1494"/>
      <c r="M99" s="596"/>
    </row>
    <row r="100" spans="1:13" x14ac:dyDescent="0.35">
      <c r="A100" s="576">
        <v>4</v>
      </c>
      <c r="B100" s="573" t="s">
        <v>1150</v>
      </c>
      <c r="C100" s="574"/>
      <c r="D100" s="574"/>
      <c r="E100" s="574"/>
      <c r="F100" s="568" t="s">
        <v>1078</v>
      </c>
      <c r="G100" s="1494"/>
      <c r="H100" s="1494"/>
      <c r="I100" s="1494"/>
      <c r="J100" s="1494"/>
      <c r="K100" s="1494"/>
      <c r="L100" s="1494"/>
      <c r="M100" s="596"/>
    </row>
    <row r="101" spans="1:13" x14ac:dyDescent="0.35">
      <c r="A101" s="244"/>
      <c r="B101" s="457"/>
      <c r="C101" s="457"/>
      <c r="D101" s="457"/>
      <c r="E101" s="457"/>
      <c r="F101" s="682"/>
      <c r="G101" s="1494"/>
      <c r="H101" s="1494"/>
      <c r="I101" s="1494"/>
      <c r="J101" s="1494"/>
      <c r="K101" s="1494"/>
      <c r="L101" s="1494"/>
      <c r="M101" s="596"/>
    </row>
    <row r="102" spans="1:13" x14ac:dyDescent="0.35">
      <c r="A102" s="577">
        <v>0.59536</v>
      </c>
      <c r="B102" s="192" t="s">
        <v>1229</v>
      </c>
      <c r="C102" s="578"/>
      <c r="D102" s="578"/>
      <c r="E102" s="578"/>
      <c r="F102" s="579"/>
      <c r="G102" s="1494"/>
      <c r="H102" s="1494"/>
      <c r="I102" s="1494"/>
      <c r="J102" s="1494"/>
      <c r="K102" s="1494"/>
      <c r="L102" s="1494"/>
      <c r="M102" s="596"/>
    </row>
    <row r="103" spans="1:13" x14ac:dyDescent="0.35">
      <c r="A103" s="248"/>
      <c r="B103" s="246"/>
      <c r="C103" s="246"/>
      <c r="D103" s="246"/>
      <c r="E103" s="246"/>
      <c r="F103" s="569" t="s">
        <v>1080</v>
      </c>
      <c r="G103" s="1494"/>
      <c r="H103" s="1494"/>
      <c r="I103" s="1494"/>
      <c r="J103" s="1494"/>
      <c r="K103" s="1494"/>
      <c r="L103" s="1494"/>
      <c r="M103" s="596"/>
    </row>
    <row r="104" spans="1:13" x14ac:dyDescent="0.35">
      <c r="A104" s="570"/>
      <c r="B104" s="689"/>
      <c r="C104" s="457"/>
      <c r="D104" s="457"/>
      <c r="E104" s="457"/>
      <c r="F104" s="682"/>
      <c r="G104" s="1494"/>
      <c r="H104" s="1494"/>
      <c r="I104" s="1494"/>
      <c r="J104" s="1494"/>
      <c r="K104" s="1494"/>
      <c r="L104" s="1494"/>
      <c r="M104" s="596"/>
    </row>
    <row r="105" spans="1:13" x14ac:dyDescent="0.35">
      <c r="A105" s="1596">
        <f>A86*A94*A98*A100*A102</f>
        <v>0.47098684931506846</v>
      </c>
      <c r="B105" s="581" t="s">
        <v>1247</v>
      </c>
      <c r="C105" s="246"/>
      <c r="D105" s="246"/>
      <c r="E105" s="246"/>
      <c r="F105" s="544"/>
      <c r="G105" s="1494"/>
      <c r="H105" s="1494"/>
      <c r="I105" s="1494"/>
      <c r="J105" s="1494"/>
      <c r="K105" s="1494"/>
      <c r="L105" s="1494"/>
      <c r="M105" s="596"/>
    </row>
    <row r="106" spans="1:13" ht="15" thickBot="1" x14ac:dyDescent="0.4">
      <c r="A106" s="595"/>
      <c r="B106" s="1494"/>
      <c r="C106" s="1494"/>
      <c r="D106" s="1494"/>
      <c r="E106" s="1494"/>
      <c r="F106" s="1494"/>
      <c r="G106" s="1494"/>
      <c r="H106" s="1494"/>
      <c r="I106" s="1494"/>
      <c r="J106" s="1494"/>
      <c r="K106" s="1494"/>
      <c r="L106" s="1494"/>
      <c r="M106" s="596"/>
    </row>
    <row r="107" spans="1:13" ht="15" thickBot="1" x14ac:dyDescent="0.4">
      <c r="A107" s="1948" t="s">
        <v>1248</v>
      </c>
      <c r="B107" s="1949"/>
      <c r="C107" s="1949"/>
      <c r="D107" s="1949"/>
      <c r="E107" s="1949"/>
      <c r="F107" s="1949"/>
      <c r="G107" s="1949"/>
      <c r="H107" s="1949"/>
      <c r="I107" s="1949"/>
      <c r="J107" s="1949"/>
      <c r="K107" s="1949"/>
      <c r="L107" s="1949"/>
      <c r="M107" s="1950"/>
    </row>
    <row r="108" spans="1:13" x14ac:dyDescent="0.35">
      <c r="A108" s="1973" t="s">
        <v>1090</v>
      </c>
      <c r="B108" s="1974"/>
      <c r="C108" s="1974"/>
      <c r="D108" s="1974"/>
      <c r="E108" s="1974"/>
      <c r="F108" s="1974"/>
      <c r="G108" s="188"/>
      <c r="H108" s="526"/>
      <c r="I108" s="526"/>
      <c r="J108" s="526"/>
      <c r="K108" s="526"/>
      <c r="L108" s="526"/>
      <c r="M108" s="584"/>
    </row>
    <row r="109" spans="1:13" x14ac:dyDescent="0.35">
      <c r="A109" s="1951" t="s">
        <v>1091</v>
      </c>
      <c r="B109" s="1952"/>
      <c r="C109" s="1952"/>
      <c r="D109" s="1952"/>
      <c r="E109" s="1952"/>
      <c r="F109" s="1952"/>
      <c r="G109" s="689"/>
      <c r="H109" s="457"/>
      <c r="I109" s="457"/>
      <c r="J109" s="457"/>
      <c r="K109" s="457"/>
      <c r="L109" s="457"/>
      <c r="M109" s="106"/>
    </row>
    <row r="110" spans="1:13" x14ac:dyDescent="0.35">
      <c r="A110" s="1963" t="s">
        <v>1060</v>
      </c>
      <c r="B110" s="1964"/>
      <c r="C110" s="1964"/>
      <c r="D110" s="1964"/>
      <c r="E110" s="1964"/>
      <c r="F110" s="1710" t="s">
        <v>1061</v>
      </c>
      <c r="G110" s="689"/>
      <c r="H110" s="1946" t="s">
        <v>1159</v>
      </c>
      <c r="I110" s="1930"/>
      <c r="J110" s="1930"/>
      <c r="K110" s="1930"/>
      <c r="L110" s="1930"/>
      <c r="M110" s="1961"/>
    </row>
    <row r="111" spans="1:13" x14ac:dyDescent="0.35">
      <c r="A111" s="1953" t="s">
        <v>1093</v>
      </c>
      <c r="B111" s="1954"/>
      <c r="C111" s="1954"/>
      <c r="D111" s="1954"/>
      <c r="E111" s="1955"/>
      <c r="F111" s="1709" t="s">
        <v>181</v>
      </c>
      <c r="G111" s="689"/>
      <c r="H111" s="1538">
        <v>59.4</v>
      </c>
      <c r="I111" s="457" t="s">
        <v>1160</v>
      </c>
      <c r="J111" s="457"/>
      <c r="K111" s="457"/>
      <c r="L111" s="457"/>
      <c r="M111" s="567" t="s">
        <v>1161</v>
      </c>
    </row>
    <row r="112" spans="1:13" x14ac:dyDescent="0.35">
      <c r="A112" s="1953" t="s">
        <v>1096</v>
      </c>
      <c r="B112" s="1954"/>
      <c r="C112" s="1954"/>
      <c r="D112" s="1954"/>
      <c r="E112" s="1955"/>
      <c r="F112" s="1709" t="s">
        <v>181</v>
      </c>
      <c r="G112" s="689"/>
      <c r="H112" s="1538">
        <v>13.61</v>
      </c>
      <c r="I112" s="457" t="s">
        <v>1162</v>
      </c>
      <c r="J112" s="457"/>
      <c r="K112" s="457"/>
      <c r="L112" s="457"/>
      <c r="M112" s="567" t="s">
        <v>1163</v>
      </c>
    </row>
    <row r="113" spans="1:13" x14ac:dyDescent="0.35">
      <c r="A113" s="1953" t="s">
        <v>1099</v>
      </c>
      <c r="B113" s="1954"/>
      <c r="C113" s="1954"/>
      <c r="D113" s="1954"/>
      <c r="E113" s="1955"/>
      <c r="F113" s="1709" t="s">
        <v>1100</v>
      </c>
      <c r="G113" s="689"/>
      <c r="H113" s="1538">
        <v>4.1859999999999999</v>
      </c>
      <c r="I113" s="457" t="s">
        <v>1101</v>
      </c>
      <c r="J113" s="457"/>
      <c r="K113" s="457"/>
      <c r="L113" s="457"/>
      <c r="M113" s="567" t="s">
        <v>1102</v>
      </c>
    </row>
    <row r="114" spans="1:13" x14ac:dyDescent="0.35">
      <c r="A114" s="1953" t="s">
        <v>1103</v>
      </c>
      <c r="B114" s="1954"/>
      <c r="C114" s="1954"/>
      <c r="D114" s="1954"/>
      <c r="E114" s="1955"/>
      <c r="F114" s="1709" t="s">
        <v>1100</v>
      </c>
      <c r="G114" s="689"/>
      <c r="H114" s="1579">
        <v>0.46</v>
      </c>
      <c r="I114" s="457" t="s">
        <v>1104</v>
      </c>
      <c r="J114" s="457"/>
      <c r="K114" s="457"/>
      <c r="L114" s="457"/>
      <c r="M114" s="567" t="s">
        <v>1249</v>
      </c>
    </row>
    <row r="115" spans="1:13" x14ac:dyDescent="0.35">
      <c r="A115" s="1953" t="s">
        <v>1106</v>
      </c>
      <c r="B115" s="1954"/>
      <c r="C115" s="1954"/>
      <c r="D115" s="1954"/>
      <c r="E115" s="1955"/>
      <c r="F115" s="1709" t="s">
        <v>1107</v>
      </c>
      <c r="G115" s="689"/>
      <c r="H115" s="1538">
        <v>18</v>
      </c>
      <c r="I115" s="457" t="s">
        <v>1166</v>
      </c>
      <c r="J115" s="457"/>
      <c r="K115" s="457"/>
      <c r="L115" s="457"/>
      <c r="M115" s="567" t="s">
        <v>1109</v>
      </c>
    </row>
    <row r="116" spans="1:13" x14ac:dyDescent="0.35">
      <c r="A116" s="1953" t="s">
        <v>1110</v>
      </c>
      <c r="B116" s="1954"/>
      <c r="C116" s="1954"/>
      <c r="D116" s="1954"/>
      <c r="E116" s="1955"/>
      <c r="F116" s="1709" t="s">
        <v>1107</v>
      </c>
      <c r="G116" s="689"/>
      <c r="H116" s="1538">
        <v>4.4400000000000004</v>
      </c>
      <c r="I116" s="457" t="s">
        <v>1250</v>
      </c>
      <c r="J116" s="457"/>
      <c r="K116" s="457"/>
      <c r="L116" s="457"/>
      <c r="M116" s="567" t="s">
        <v>1168</v>
      </c>
    </row>
    <row r="117" spans="1:13" x14ac:dyDescent="0.35">
      <c r="A117" s="1953" t="s">
        <v>1113</v>
      </c>
      <c r="B117" s="1954"/>
      <c r="C117" s="1954"/>
      <c r="D117" s="1954"/>
      <c r="E117" s="1955"/>
      <c r="F117" s="1709" t="s">
        <v>1068</v>
      </c>
      <c r="G117" s="689"/>
      <c r="H117" s="1538">
        <v>10</v>
      </c>
      <c r="I117" s="457" t="s">
        <v>1114</v>
      </c>
      <c r="J117" s="457"/>
      <c r="K117" s="457"/>
      <c r="L117" s="457"/>
      <c r="M117" s="567" t="s">
        <v>1115</v>
      </c>
    </row>
    <row r="118" spans="1:13" x14ac:dyDescent="0.35">
      <c r="A118" s="1953" t="s">
        <v>1116</v>
      </c>
      <c r="B118" s="1954"/>
      <c r="C118" s="1954"/>
      <c r="D118" s="1954"/>
      <c r="E118" s="1955"/>
      <c r="F118" s="1709" t="s">
        <v>168</v>
      </c>
      <c r="G118" s="689"/>
      <c r="H118" s="1538">
        <v>3</v>
      </c>
      <c r="I118" s="457" t="s">
        <v>1117</v>
      </c>
      <c r="J118" s="457"/>
      <c r="K118" s="457"/>
      <c r="L118" s="457"/>
      <c r="M118" s="567" t="s">
        <v>1118</v>
      </c>
    </row>
    <row r="119" spans="1:13" x14ac:dyDescent="0.35">
      <c r="A119" s="1953" t="s">
        <v>1119</v>
      </c>
      <c r="B119" s="1954"/>
      <c r="C119" s="1954"/>
      <c r="D119" s="1954"/>
      <c r="E119" s="1955"/>
      <c r="F119" s="1709" t="s">
        <v>658</v>
      </c>
      <c r="G119" s="689"/>
      <c r="H119" s="1538">
        <v>2.5</v>
      </c>
      <c r="I119" s="457" t="s">
        <v>1120</v>
      </c>
      <c r="J119" s="457"/>
      <c r="K119" s="457"/>
      <c r="L119" s="457"/>
      <c r="M119" s="567" t="s">
        <v>1121</v>
      </c>
    </row>
    <row r="120" spans="1:13" x14ac:dyDescent="0.35">
      <c r="A120" s="1953" t="s">
        <v>1122</v>
      </c>
      <c r="B120" s="1954"/>
      <c r="C120" s="1954"/>
      <c r="D120" s="1954"/>
      <c r="E120" s="1955"/>
      <c r="F120" s="1709" t="s">
        <v>1123</v>
      </c>
      <c r="G120" s="689"/>
      <c r="H120" s="1538">
        <v>2.7999999999999998E-4</v>
      </c>
      <c r="I120" s="457" t="s">
        <v>1124</v>
      </c>
      <c r="J120" s="457"/>
      <c r="K120" s="457"/>
      <c r="L120" s="457"/>
      <c r="M120" s="567" t="s">
        <v>1125</v>
      </c>
    </row>
    <row r="121" spans="1:13" x14ac:dyDescent="0.35">
      <c r="A121" s="1956" t="s">
        <v>1126</v>
      </c>
      <c r="B121" s="1957"/>
      <c r="C121" s="1957"/>
      <c r="D121" s="1957"/>
      <c r="E121" s="1957"/>
      <c r="F121" s="1958" t="s">
        <v>1127</v>
      </c>
      <c r="G121" s="689"/>
      <c r="H121" s="1538">
        <v>595.36</v>
      </c>
      <c r="I121" s="457" t="s">
        <v>1169</v>
      </c>
      <c r="J121" s="457"/>
      <c r="K121" s="457"/>
      <c r="L121" s="457"/>
      <c r="M121" s="567" t="s">
        <v>1129</v>
      </c>
    </row>
    <row r="122" spans="1:13" x14ac:dyDescent="0.35">
      <c r="A122" s="1956"/>
      <c r="B122" s="1957"/>
      <c r="C122" s="1957"/>
      <c r="D122" s="1957"/>
      <c r="E122" s="1957"/>
      <c r="F122" s="1958"/>
      <c r="G122" s="689"/>
      <c r="H122" s="1584">
        <v>1</v>
      </c>
      <c r="I122" s="457" t="s">
        <v>1170</v>
      </c>
      <c r="J122" s="457"/>
      <c r="K122" s="457"/>
      <c r="L122" s="457"/>
      <c r="M122" s="567" t="s">
        <v>1131</v>
      </c>
    </row>
    <row r="123" spans="1:13" x14ac:dyDescent="0.35">
      <c r="A123" s="1953" t="s">
        <v>1132</v>
      </c>
      <c r="B123" s="1954"/>
      <c r="C123" s="1954"/>
      <c r="D123" s="1954"/>
      <c r="E123" s="1955"/>
      <c r="F123" s="1709" t="s">
        <v>1065</v>
      </c>
      <c r="G123" s="689"/>
      <c r="H123" s="548"/>
      <c r="I123" s="457"/>
      <c r="J123" s="457"/>
      <c r="K123" s="457"/>
      <c r="L123" s="457"/>
      <c r="M123" s="682"/>
    </row>
    <row r="124" spans="1:13" x14ac:dyDescent="0.35">
      <c r="A124" s="1953" t="s">
        <v>1134</v>
      </c>
      <c r="B124" s="1954"/>
      <c r="C124" s="1954"/>
      <c r="D124" s="1954"/>
      <c r="E124" s="1955"/>
      <c r="F124" s="1709" t="s">
        <v>1135</v>
      </c>
      <c r="G124" s="163"/>
      <c r="H124" s="1585">
        <f>((((H111*H113*(H115-H116))+(H112*H114*(H115-H116)))*((1+(H118*H117))/H119)*H120*H121*H122))</f>
        <v>7145.0328190983137</v>
      </c>
      <c r="I124" s="246" t="s">
        <v>1171</v>
      </c>
      <c r="J124" s="246"/>
      <c r="K124" s="246"/>
      <c r="L124" s="246"/>
      <c r="M124" s="544"/>
    </row>
    <row r="125" spans="1:13" x14ac:dyDescent="0.35">
      <c r="A125" s="595"/>
      <c r="B125" s="1494"/>
      <c r="C125" s="1494"/>
      <c r="D125" s="1494"/>
      <c r="E125" s="1494"/>
      <c r="F125" s="1494"/>
      <c r="G125" s="1494"/>
      <c r="H125" s="1494"/>
      <c r="I125" s="1494"/>
      <c r="J125" s="1494"/>
      <c r="K125" s="1494"/>
      <c r="L125" s="1494"/>
      <c r="M125" s="1494"/>
    </row>
    <row r="126" spans="1:13" x14ac:dyDescent="0.35">
      <c r="A126" s="687" t="s">
        <v>1251</v>
      </c>
      <c r="B126" s="687"/>
      <c r="C126" s="687"/>
      <c r="D126" s="687"/>
      <c r="E126" s="687"/>
      <c r="F126" s="687"/>
      <c r="G126" s="687"/>
      <c r="H126" s="687"/>
      <c r="I126" s="687"/>
      <c r="J126" s="687"/>
      <c r="K126" s="687"/>
      <c r="L126" s="687"/>
      <c r="M126" s="687"/>
    </row>
    <row r="127" spans="1:13" x14ac:dyDescent="0.35">
      <c r="A127" s="687" t="s">
        <v>1252</v>
      </c>
      <c r="B127" s="687"/>
      <c r="C127" s="687"/>
      <c r="D127" s="687"/>
      <c r="E127" s="687"/>
      <c r="F127" s="687"/>
      <c r="G127" s="687"/>
      <c r="H127" s="687"/>
      <c r="I127" s="687"/>
      <c r="J127" s="687"/>
      <c r="K127" s="687"/>
      <c r="L127" s="687"/>
      <c r="M127" s="687"/>
    </row>
    <row r="129" spans="1:13" ht="15" thickBot="1" x14ac:dyDescent="0.4">
      <c r="A129" s="583" t="s">
        <v>1253</v>
      </c>
      <c r="B129" s="583"/>
      <c r="C129" s="583"/>
      <c r="D129" s="583"/>
      <c r="E129" s="687"/>
      <c r="F129" s="687"/>
      <c r="G129" s="687"/>
      <c r="H129" s="687"/>
      <c r="I129" s="687"/>
      <c r="J129" s="687"/>
      <c r="K129" s="687"/>
      <c r="L129" s="687"/>
      <c r="M129" s="687"/>
    </row>
    <row r="130" spans="1:13" ht="15" thickTop="1" x14ac:dyDescent="0.35">
      <c r="A130" s="238" t="s">
        <v>1254</v>
      </c>
      <c r="B130" s="239"/>
      <c r="C130" s="239"/>
      <c r="D130" s="687"/>
      <c r="E130" s="687"/>
      <c r="F130" s="687"/>
      <c r="G130" s="687"/>
      <c r="H130" s="687"/>
      <c r="I130" s="687"/>
      <c r="J130" s="687"/>
      <c r="K130" s="687"/>
      <c r="L130" s="687"/>
      <c r="M130" s="687"/>
    </row>
    <row r="131" spans="1:13" x14ac:dyDescent="0.35">
      <c r="A131" s="687"/>
      <c r="B131" s="312"/>
      <c r="C131" s="239"/>
      <c r="D131" s="687"/>
      <c r="E131" s="687"/>
      <c r="F131" s="687"/>
      <c r="G131" s="687"/>
      <c r="H131" s="687"/>
      <c r="I131" s="687"/>
      <c r="J131" s="687"/>
      <c r="K131" s="687"/>
      <c r="L131" s="687"/>
      <c r="M131" s="687"/>
    </row>
    <row r="132" spans="1:13" x14ac:dyDescent="0.35">
      <c r="A132" s="239" t="s">
        <v>504</v>
      </c>
      <c r="B132" s="239"/>
      <c r="C132" s="239"/>
      <c r="D132" s="687"/>
      <c r="E132" s="687"/>
      <c r="F132" s="687"/>
      <c r="G132" s="687"/>
      <c r="H132" s="687"/>
      <c r="I132" s="687"/>
      <c r="J132" s="687"/>
      <c r="K132" s="687"/>
      <c r="L132" s="687"/>
      <c r="M132" s="687"/>
    </row>
    <row r="133" spans="1:13" x14ac:dyDescent="0.35">
      <c r="A133" s="688" t="s">
        <v>1184</v>
      </c>
      <c r="B133" s="687"/>
      <c r="C133" s="687"/>
      <c r="D133" s="687"/>
      <c r="E133" s="687"/>
      <c r="F133" s="687"/>
      <c r="G133" s="687"/>
      <c r="H133" s="687"/>
      <c r="I133" s="687"/>
      <c r="J133" s="687"/>
      <c r="K133" s="687"/>
      <c r="L133" s="687"/>
      <c r="M133" s="687"/>
    </row>
    <row r="134" spans="1:13" x14ac:dyDescent="0.35">
      <c r="A134" s="687"/>
      <c r="B134" s="690" t="s">
        <v>1185</v>
      </c>
      <c r="C134" s="690"/>
      <c r="D134" s="687"/>
      <c r="E134" s="687"/>
      <c r="F134" s="687"/>
      <c r="G134" s="687"/>
      <c r="H134" s="687"/>
      <c r="I134" s="687"/>
      <c r="J134" s="687"/>
      <c r="K134" s="687"/>
      <c r="L134" s="687"/>
      <c r="M134" s="687"/>
    </row>
    <row r="135" spans="1:13" x14ac:dyDescent="0.35">
      <c r="A135" s="687"/>
      <c r="B135" s="690"/>
      <c r="C135" s="696"/>
      <c r="D135" s="687"/>
      <c r="E135" s="687"/>
      <c r="F135" s="687"/>
      <c r="G135" s="687"/>
      <c r="H135" s="687"/>
      <c r="I135" s="687"/>
      <c r="J135" s="687"/>
      <c r="K135" s="687"/>
      <c r="L135" s="687"/>
      <c r="M135" s="687"/>
    </row>
    <row r="136" spans="1:13" x14ac:dyDescent="0.35">
      <c r="A136" s="687" t="s">
        <v>504</v>
      </c>
      <c r="B136" s="687"/>
      <c r="C136" s="687"/>
      <c r="D136" s="687"/>
      <c r="E136" s="687"/>
      <c r="F136" s="687"/>
      <c r="G136" s="687"/>
      <c r="H136" s="687"/>
      <c r="I136" s="687"/>
      <c r="J136" s="687"/>
      <c r="K136" s="687"/>
      <c r="L136" s="687"/>
      <c r="M136" s="687"/>
    </row>
    <row r="137" spans="1:13" x14ac:dyDescent="0.35">
      <c r="A137" s="688" t="s">
        <v>1186</v>
      </c>
      <c r="B137" s="687"/>
      <c r="C137" s="687"/>
      <c r="D137" s="687"/>
      <c r="E137" s="687"/>
      <c r="F137" s="687"/>
      <c r="G137" s="687"/>
      <c r="H137" s="687"/>
      <c r="I137" s="687"/>
      <c r="J137" s="687"/>
      <c r="K137" s="687"/>
      <c r="L137" s="687"/>
      <c r="M137" s="687"/>
    </row>
    <row r="138" spans="1:13" x14ac:dyDescent="0.35">
      <c r="A138" s="687"/>
      <c r="B138" s="687" t="s">
        <v>1187</v>
      </c>
      <c r="C138" s="687"/>
      <c r="D138" s="687"/>
      <c r="E138" s="687"/>
      <c r="F138" s="687"/>
      <c r="G138" s="687"/>
      <c r="H138" s="687"/>
      <c r="I138" s="687"/>
      <c r="J138" s="687"/>
      <c r="K138" s="687"/>
      <c r="L138" s="687"/>
      <c r="M138" s="687"/>
    </row>
    <row r="139" spans="1:13" x14ac:dyDescent="0.35">
      <c r="A139" s="687"/>
      <c r="B139" s="687"/>
      <c r="C139" s="696"/>
      <c r="D139" s="687"/>
      <c r="E139" s="687"/>
      <c r="F139" s="687"/>
      <c r="G139" s="687"/>
      <c r="H139" s="687"/>
      <c r="I139" s="687"/>
      <c r="J139" s="687"/>
      <c r="K139" s="687"/>
      <c r="L139" s="687"/>
      <c r="M139" s="687"/>
    </row>
    <row r="140" spans="1:13" x14ac:dyDescent="0.35">
      <c r="A140" s="687" t="s">
        <v>504</v>
      </c>
      <c r="B140" s="687"/>
      <c r="C140" s="687"/>
      <c r="D140" s="687"/>
      <c r="E140" s="687"/>
      <c r="F140" s="687"/>
      <c r="G140" s="687"/>
      <c r="H140" s="687"/>
      <c r="I140" s="687"/>
      <c r="J140" s="687"/>
      <c r="K140" s="687"/>
      <c r="L140" s="687"/>
      <c r="M140" s="687"/>
    </row>
    <row r="141" spans="1:13" x14ac:dyDescent="0.35">
      <c r="A141" s="298" t="s">
        <v>1188</v>
      </c>
      <c r="B141" s="687"/>
      <c r="C141" s="687"/>
      <c r="D141" s="687"/>
      <c r="E141" s="687"/>
      <c r="F141" s="687"/>
      <c r="G141" s="687"/>
      <c r="H141" s="687"/>
      <c r="I141" s="687"/>
      <c r="J141" s="687"/>
      <c r="K141" s="687"/>
      <c r="L141" s="687"/>
      <c r="M141" s="687"/>
    </row>
    <row r="142" spans="1:13" x14ac:dyDescent="0.35">
      <c r="A142" s="687"/>
      <c r="B142" s="457" t="s">
        <v>1189</v>
      </c>
      <c r="C142" s="687"/>
      <c r="D142" s="687"/>
      <c r="E142" s="687"/>
      <c r="F142" s="687"/>
      <c r="G142" s="687"/>
      <c r="H142" s="687"/>
      <c r="I142" s="687"/>
      <c r="J142" s="687"/>
      <c r="K142" s="687"/>
      <c r="L142" s="687"/>
      <c r="M142" s="687"/>
    </row>
    <row r="146" spans="1:16" ht="16" thickBot="1" x14ac:dyDescent="0.4">
      <c r="A146" s="1678"/>
      <c r="B146" s="1678"/>
      <c r="C146" s="1678"/>
      <c r="D146" s="1678"/>
      <c r="E146" s="1678"/>
      <c r="F146" s="1678"/>
      <c r="G146" s="1678"/>
      <c r="H146" s="1678"/>
      <c r="I146" s="1678"/>
      <c r="J146" s="1678"/>
      <c r="K146" s="1678"/>
      <c r="L146" s="1678"/>
      <c r="M146" s="1679" t="s">
        <v>72</v>
      </c>
      <c r="N146" s="1680"/>
      <c r="O146" s="1680"/>
      <c r="P146" s="1681"/>
    </row>
    <row r="147" spans="1:16" ht="15" thickTop="1" x14ac:dyDescent="0.35">
      <c r="A147" s="87"/>
      <c r="B147" s="87"/>
      <c r="C147" s="87"/>
      <c r="D147" s="87"/>
      <c r="E147" s="87"/>
      <c r="F147" s="87"/>
      <c r="G147" s="87"/>
      <c r="H147" s="87"/>
      <c r="I147" s="87"/>
      <c r="J147" s="87"/>
      <c r="K147" s="87"/>
      <c r="L147" s="87"/>
      <c r="M147" s="87"/>
      <c r="N147" s="457"/>
      <c r="O147" s="457"/>
      <c r="P147" s="457"/>
    </row>
  </sheetData>
  <mergeCells count="85">
    <mergeCell ref="H18:M18"/>
    <mergeCell ref="A1:M1"/>
    <mergeCell ref="A6:M6"/>
    <mergeCell ref="A9:F9"/>
    <mergeCell ref="A10:E10"/>
    <mergeCell ref="A11:E11"/>
    <mergeCell ref="A12:E12"/>
    <mergeCell ref="A7:M7"/>
    <mergeCell ref="A13:E13"/>
    <mergeCell ref="A14:E14"/>
    <mergeCell ref="A15:E16"/>
    <mergeCell ref="F15:F16"/>
    <mergeCell ref="A18:F18"/>
    <mergeCell ref="B4:C4"/>
    <mergeCell ref="B3:C3"/>
    <mergeCell ref="I3:M4"/>
    <mergeCell ref="A59:E59"/>
    <mergeCell ref="A49:F49"/>
    <mergeCell ref="A50:F50"/>
    <mergeCell ref="A51:E51"/>
    <mergeCell ref="A52:E52"/>
    <mergeCell ref="A53:E53"/>
    <mergeCell ref="H51:M51"/>
    <mergeCell ref="A71:M71"/>
    <mergeCell ref="A73:F73"/>
    <mergeCell ref="H73:M73"/>
    <mergeCell ref="A72:M72"/>
    <mergeCell ref="A60:E60"/>
    <mergeCell ref="A61:E61"/>
    <mergeCell ref="A62:E63"/>
    <mergeCell ref="F62:F63"/>
    <mergeCell ref="A64:E64"/>
    <mergeCell ref="A65:E65"/>
    <mergeCell ref="A54:E54"/>
    <mergeCell ref="A55:E55"/>
    <mergeCell ref="A56:E56"/>
    <mergeCell ref="A57:E57"/>
    <mergeCell ref="A58:E58"/>
    <mergeCell ref="A74:F74"/>
    <mergeCell ref="H74:M74"/>
    <mergeCell ref="A75:E75"/>
    <mergeCell ref="H75:L75"/>
    <mergeCell ref="A76:E76"/>
    <mergeCell ref="H76:L76"/>
    <mergeCell ref="H83:L83"/>
    <mergeCell ref="A77:E77"/>
    <mergeCell ref="H77:L77"/>
    <mergeCell ref="A78:E78"/>
    <mergeCell ref="H78:L78"/>
    <mergeCell ref="A79:E79"/>
    <mergeCell ref="H79:L79"/>
    <mergeCell ref="A111:E111"/>
    <mergeCell ref="A46:M46"/>
    <mergeCell ref="A68:M68"/>
    <mergeCell ref="A48:M48"/>
    <mergeCell ref="A83:F83"/>
    <mergeCell ref="H84:L84"/>
    <mergeCell ref="H85:L85"/>
    <mergeCell ref="H86:L87"/>
    <mergeCell ref="M86:M87"/>
    <mergeCell ref="H88:L88"/>
    <mergeCell ref="H89:L89"/>
    <mergeCell ref="A80:E81"/>
    <mergeCell ref="F80:F81"/>
    <mergeCell ref="H80:L80"/>
    <mergeCell ref="H81:L81"/>
    <mergeCell ref="H82:L82"/>
    <mergeCell ref="A107:M107"/>
    <mergeCell ref="A108:F108"/>
    <mergeCell ref="A109:F109"/>
    <mergeCell ref="A110:E110"/>
    <mergeCell ref="H110:M110"/>
    <mergeCell ref="F121:F122"/>
    <mergeCell ref="A123:E123"/>
    <mergeCell ref="A112:E112"/>
    <mergeCell ref="A113:E113"/>
    <mergeCell ref="A114:E114"/>
    <mergeCell ref="A115:E115"/>
    <mergeCell ref="A116:E116"/>
    <mergeCell ref="A117:E117"/>
    <mergeCell ref="A124:E124"/>
    <mergeCell ref="A118:E118"/>
    <mergeCell ref="A119:E119"/>
    <mergeCell ref="A120:E120"/>
    <mergeCell ref="A121:E122"/>
  </mergeCells>
  <hyperlinks>
    <hyperlink ref="D4" location="'Welcome'!C15" display="  = Data entry needed. See color legend on Welcome tab for more info.  " xr:uid="{EE398D08-3225-40F3-B3E0-92E83CCA85C2}"/>
    <hyperlink ref="D3" location="'Welcome'!C15" display="  = Data entry needed. See color legend on Welcome tab for more info.  " xr:uid="{2BCF13FD-11FD-4DF1-9A56-04E67E162EAA}"/>
  </hyperlinks>
  <pageMargins left="0.75" right="0.7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249977111117893"/>
  </sheetPr>
  <dimension ref="A1:P47"/>
  <sheetViews>
    <sheetView zoomScaleNormal="100" workbookViewId="0">
      <selection activeCell="A2" sqref="A2"/>
    </sheetView>
  </sheetViews>
  <sheetFormatPr defaultColWidth="8.81640625" defaultRowHeight="14.5" x14ac:dyDescent="0.35"/>
  <cols>
    <col min="1" max="1" width="24.81640625" customWidth="1"/>
    <col min="2" max="2" width="104.1796875" customWidth="1"/>
    <col min="3" max="3" width="17.453125" bestFit="1" customWidth="1"/>
    <col min="4" max="4" width="17.81640625" bestFit="1" customWidth="1"/>
    <col min="5" max="5" width="25.453125" customWidth="1"/>
    <col min="6" max="6" width="23.7265625" customWidth="1"/>
    <col min="7" max="7" width="20.81640625" customWidth="1"/>
    <col min="8" max="8" width="27.26953125" customWidth="1"/>
  </cols>
  <sheetData>
    <row r="1" spans="1:13" s="687" customFormat="1" ht="21.5" thickBot="1" x14ac:dyDescent="0.55000000000000004">
      <c r="A1" s="1996" t="s">
        <v>1255</v>
      </c>
      <c r="B1" s="1998"/>
      <c r="C1" s="508"/>
      <c r="D1" s="508"/>
      <c r="E1" s="508"/>
      <c r="F1" s="508"/>
      <c r="G1" s="508"/>
      <c r="H1" s="508"/>
      <c r="I1" s="508"/>
      <c r="J1" s="508"/>
      <c r="K1" s="508"/>
      <c r="L1" s="508"/>
      <c r="M1" s="508"/>
    </row>
    <row r="2" spans="1:13" s="687" customFormat="1" x14ac:dyDescent="0.35"/>
    <row r="3" spans="1:13" s="687" customFormat="1" x14ac:dyDescent="0.35">
      <c r="A3" s="690" t="s">
        <v>1256</v>
      </c>
    </row>
    <row r="4" spans="1:13" s="687" customFormat="1" x14ac:dyDescent="0.35">
      <c r="A4" s="690" t="s">
        <v>1257</v>
      </c>
    </row>
    <row r="5" spans="1:13" s="687" customFormat="1" x14ac:dyDescent="0.35">
      <c r="A5" s="690" t="s">
        <v>1258</v>
      </c>
    </row>
    <row r="6" spans="1:13" s="687" customFormat="1" x14ac:dyDescent="0.35"/>
    <row r="7" spans="1:13" s="687" customFormat="1" x14ac:dyDescent="0.35">
      <c r="A7" s="741" t="s">
        <v>1259</v>
      </c>
      <c r="B7" s="741" t="s">
        <v>1260</v>
      </c>
    </row>
    <row r="8" spans="1:13" ht="29" x14ac:dyDescent="0.35">
      <c r="A8" s="1527" t="s">
        <v>1261</v>
      </c>
      <c r="B8" s="1657" t="s">
        <v>1262</v>
      </c>
      <c r="C8" s="687"/>
      <c r="D8" s="687"/>
      <c r="E8" s="687"/>
      <c r="F8" s="687"/>
      <c r="G8" s="687"/>
      <c r="H8" s="687"/>
      <c r="I8" s="687"/>
      <c r="J8" s="687"/>
      <c r="K8" s="687"/>
      <c r="L8" s="687"/>
      <c r="M8" s="687"/>
    </row>
    <row r="9" spans="1:13" x14ac:dyDescent="0.35">
      <c r="A9" s="1656" t="s">
        <v>1263</v>
      </c>
      <c r="B9" s="1657" t="s">
        <v>1264</v>
      </c>
      <c r="C9" s="687"/>
      <c r="D9" s="687"/>
      <c r="E9" s="687"/>
      <c r="F9" s="687"/>
      <c r="G9" s="687"/>
      <c r="H9" s="687"/>
      <c r="I9" s="687"/>
      <c r="J9" s="687"/>
      <c r="K9" s="687"/>
      <c r="L9" s="687"/>
      <c r="M9" s="687"/>
    </row>
    <row r="10" spans="1:13" ht="29" x14ac:dyDescent="0.35">
      <c r="A10" s="1527" t="s">
        <v>1265</v>
      </c>
      <c r="B10" s="1657" t="s">
        <v>1266</v>
      </c>
      <c r="C10" s="687"/>
      <c r="D10" s="687"/>
      <c r="E10" s="687"/>
      <c r="F10" s="687"/>
      <c r="G10" s="687"/>
      <c r="H10" s="687"/>
      <c r="I10" s="687"/>
      <c r="J10" s="687"/>
      <c r="K10" s="687"/>
      <c r="L10" s="687"/>
      <c r="M10" s="687"/>
    </row>
    <row r="11" spans="1:13" s="687" customFormat="1" x14ac:dyDescent="0.35">
      <c r="A11" s="1527" t="s">
        <v>1267</v>
      </c>
      <c r="B11" s="1657" t="s">
        <v>1268</v>
      </c>
    </row>
    <row r="12" spans="1:13" s="687" customFormat="1" x14ac:dyDescent="0.35">
      <c r="A12" s="1527" t="s">
        <v>1269</v>
      </c>
      <c r="B12" s="1657" t="s">
        <v>1270</v>
      </c>
    </row>
    <row r="13" spans="1:13" s="687" customFormat="1" x14ac:dyDescent="0.35">
      <c r="A13" s="1527" t="s">
        <v>1271</v>
      </c>
      <c r="B13" s="1657" t="s">
        <v>1272</v>
      </c>
    </row>
    <row r="14" spans="1:13" s="687" customFormat="1" x14ac:dyDescent="0.35">
      <c r="A14" s="1527" t="s">
        <v>1273</v>
      </c>
      <c r="B14" s="1657" t="s">
        <v>1272</v>
      </c>
    </row>
    <row r="15" spans="1:13" s="687" customFormat="1" x14ac:dyDescent="0.35">
      <c r="A15" s="1527" t="s">
        <v>1274</v>
      </c>
      <c r="B15" s="1657" t="s">
        <v>1272</v>
      </c>
    </row>
    <row r="16" spans="1:13" s="687" customFormat="1" x14ac:dyDescent="0.35">
      <c r="A16" s="1527" t="s">
        <v>1275</v>
      </c>
      <c r="B16" s="1657" t="s">
        <v>1276</v>
      </c>
    </row>
    <row r="17" spans="1:2" s="687" customFormat="1" ht="29" x14ac:dyDescent="0.35">
      <c r="A17" s="1656" t="s">
        <v>1277</v>
      </c>
      <c r="B17" s="1658" t="s">
        <v>1278</v>
      </c>
    </row>
    <row r="18" spans="1:2" x14ac:dyDescent="0.35">
      <c r="A18" s="457"/>
      <c r="B18" s="1243"/>
    </row>
    <row r="19" spans="1:2" s="687" customFormat="1" x14ac:dyDescent="0.35">
      <c r="A19" s="457"/>
      <c r="B19" s="1243"/>
    </row>
    <row r="20" spans="1:2" s="687" customFormat="1" x14ac:dyDescent="0.35">
      <c r="A20" s="457"/>
      <c r="B20" s="1243"/>
    </row>
    <row r="21" spans="1:2" s="687" customFormat="1" x14ac:dyDescent="0.35">
      <c r="A21" s="457"/>
      <c r="B21" s="1243"/>
    </row>
    <row r="22" spans="1:2" s="687" customFormat="1" x14ac:dyDescent="0.35">
      <c r="A22" s="457"/>
      <c r="B22" s="1243"/>
    </row>
    <row r="23" spans="1:2" s="687" customFormat="1" x14ac:dyDescent="0.35">
      <c r="A23" s="457"/>
      <c r="B23" s="1243"/>
    </row>
    <row r="24" spans="1:2" s="687" customFormat="1" x14ac:dyDescent="0.35">
      <c r="A24" s="457"/>
      <c r="B24" s="1243"/>
    </row>
    <row r="25" spans="1:2" s="687" customFormat="1" x14ac:dyDescent="0.35">
      <c r="A25" s="457"/>
      <c r="B25" s="1243"/>
    </row>
    <row r="26" spans="1:2" s="687" customFormat="1" x14ac:dyDescent="0.35">
      <c r="A26" s="457"/>
      <c r="B26" s="1243"/>
    </row>
    <row r="27" spans="1:2" s="687" customFormat="1" x14ac:dyDescent="0.35">
      <c r="A27" s="457"/>
      <c r="B27" s="1243"/>
    </row>
    <row r="28" spans="1:2" s="687" customFormat="1" x14ac:dyDescent="0.35">
      <c r="A28" s="457"/>
      <c r="B28" s="1243"/>
    </row>
    <row r="29" spans="1:2" s="687" customFormat="1" x14ac:dyDescent="0.35">
      <c r="A29" s="457"/>
      <c r="B29" s="1243"/>
    </row>
    <row r="30" spans="1:2" s="687" customFormat="1" x14ac:dyDescent="0.35">
      <c r="A30" s="457"/>
      <c r="B30" s="1243"/>
    </row>
    <row r="31" spans="1:2" s="687" customFormat="1" x14ac:dyDescent="0.35">
      <c r="A31" s="457"/>
      <c r="B31" s="1243"/>
    </row>
    <row r="32" spans="1:2" s="687" customFormat="1" x14ac:dyDescent="0.35">
      <c r="A32" s="457"/>
      <c r="B32" s="1243"/>
    </row>
    <row r="33" spans="1:16" s="687" customFormat="1" x14ac:dyDescent="0.35">
      <c r="A33" s="457"/>
      <c r="B33" s="1243"/>
    </row>
    <row r="34" spans="1:16" s="687" customFormat="1" x14ac:dyDescent="0.35">
      <c r="A34" s="457"/>
      <c r="B34" s="1243"/>
    </row>
    <row r="35" spans="1:16" s="687" customFormat="1" x14ac:dyDescent="0.35">
      <c r="A35" s="457"/>
      <c r="B35" s="1243"/>
    </row>
    <row r="36" spans="1:16" s="687" customFormat="1" x14ac:dyDescent="0.35">
      <c r="A36" s="457"/>
      <c r="B36" s="1243"/>
    </row>
    <row r="37" spans="1:16" s="687" customFormat="1" x14ac:dyDescent="0.35">
      <c r="A37" s="457"/>
      <c r="B37" s="1243"/>
    </row>
    <row r="38" spans="1:16" s="687" customFormat="1" x14ac:dyDescent="0.35">
      <c r="A38" s="457"/>
      <c r="B38" s="1243"/>
    </row>
    <row r="39" spans="1:16" s="687" customFormat="1" x14ac:dyDescent="0.35">
      <c r="A39" s="457"/>
      <c r="B39" s="1243"/>
    </row>
    <row r="40" spans="1:16" s="687" customFormat="1" x14ac:dyDescent="0.35">
      <c r="A40" s="457"/>
      <c r="B40" s="1243"/>
    </row>
    <row r="41" spans="1:16" s="687" customFormat="1" x14ac:dyDescent="0.35">
      <c r="A41" s="457"/>
      <c r="B41" s="1243"/>
    </row>
    <row r="42" spans="1:16" s="687" customFormat="1" x14ac:dyDescent="0.35">
      <c r="A42" s="457"/>
      <c r="B42" s="1243"/>
    </row>
    <row r="43" spans="1:16" s="687" customFormat="1" x14ac:dyDescent="0.35">
      <c r="A43" s="457"/>
      <c r="B43" s="1243"/>
    </row>
    <row r="44" spans="1:16" s="687" customFormat="1" x14ac:dyDescent="0.35">
      <c r="A44" s="457"/>
      <c r="B44" s="1243"/>
    </row>
    <row r="46" spans="1:16" ht="16" thickBot="1" x14ac:dyDescent="0.4">
      <c r="A46" s="1678"/>
      <c r="B46" s="1679" t="s">
        <v>72</v>
      </c>
      <c r="C46" s="1680"/>
      <c r="D46" s="1680"/>
      <c r="E46" s="1680"/>
      <c r="F46" s="1680"/>
      <c r="G46" s="1680"/>
      <c r="H46" s="1680"/>
      <c r="I46" s="1680"/>
      <c r="J46" s="1680"/>
      <c r="K46" s="1680"/>
      <c r="L46" s="1680"/>
      <c r="M46" s="1680"/>
      <c r="N46" s="1680"/>
      <c r="O46" s="1680"/>
      <c r="P46" s="1681"/>
    </row>
    <row r="47" spans="1:16" ht="15" thickTop="1" x14ac:dyDescent="0.35">
      <c r="A47" s="87"/>
      <c r="B47" s="87"/>
      <c r="C47" s="457"/>
      <c r="D47" s="457"/>
      <c r="E47" s="457"/>
      <c r="F47" s="457"/>
      <c r="G47" s="457"/>
      <c r="H47" s="457"/>
      <c r="I47" s="457"/>
      <c r="J47" s="457"/>
      <c r="K47" s="457"/>
      <c r="L47" s="457"/>
      <c r="M47" s="457"/>
      <c r="N47" s="457"/>
      <c r="O47" s="457"/>
      <c r="P47" s="457"/>
    </row>
  </sheetData>
  <mergeCells count="1">
    <mergeCell ref="A1:B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17AC-70B3-4D4F-A6E2-803D76D80463}">
  <sheetPr>
    <tabColor theme="0" tint="-0.249977111117893"/>
  </sheetPr>
  <dimension ref="A1:P44"/>
  <sheetViews>
    <sheetView zoomScale="85" zoomScaleNormal="85" workbookViewId="0">
      <selection activeCell="A2" sqref="A2"/>
    </sheetView>
  </sheetViews>
  <sheetFormatPr defaultColWidth="8.81640625" defaultRowHeight="14.5" x14ac:dyDescent="0.35"/>
  <cols>
    <col min="1" max="1" width="174" customWidth="1"/>
    <col min="2" max="2" width="67.453125" customWidth="1"/>
  </cols>
  <sheetData>
    <row r="1" spans="1:2" s="687" customFormat="1" ht="21.5" thickBot="1" x14ac:dyDescent="0.55000000000000004">
      <c r="A1" s="1996" t="s">
        <v>1279</v>
      </c>
      <c r="B1" s="1998"/>
    </row>
    <row r="3" spans="1:2" ht="101.5" x14ac:dyDescent="0.35">
      <c r="A3" s="206" t="s">
        <v>1280</v>
      </c>
      <c r="B3" s="206"/>
    </row>
    <row r="4" spans="1:2" s="687" customFormat="1" x14ac:dyDescent="0.35">
      <c r="A4" s="206" t="s">
        <v>1281</v>
      </c>
      <c r="B4" s="206"/>
    </row>
    <row r="5" spans="1:2" s="687" customFormat="1" x14ac:dyDescent="0.35">
      <c r="A5" s="1152" t="s">
        <v>1282</v>
      </c>
      <c r="B5" s="206"/>
    </row>
    <row r="6" spans="1:2" s="687" customFormat="1" x14ac:dyDescent="0.35">
      <c r="A6" s="1152" t="s">
        <v>1283</v>
      </c>
      <c r="B6" s="206"/>
    </row>
    <row r="7" spans="1:2" s="687" customFormat="1" x14ac:dyDescent="0.35">
      <c r="A7" s="1152" t="s">
        <v>1284</v>
      </c>
      <c r="B7" s="206"/>
    </row>
    <row r="8" spans="1:2" s="687" customFormat="1" x14ac:dyDescent="0.35">
      <c r="A8" s="1152" t="s">
        <v>1285</v>
      </c>
      <c r="B8" s="1152"/>
    </row>
    <row r="10" spans="1:2" ht="43.5" x14ac:dyDescent="0.35">
      <c r="A10" s="206" t="s">
        <v>1286</v>
      </c>
      <c r="B10" s="687"/>
    </row>
    <row r="12" spans="1:2" ht="43.5" x14ac:dyDescent="0.35">
      <c r="A12" s="206" t="s">
        <v>1287</v>
      </c>
      <c r="B12" s="687"/>
    </row>
    <row r="14" spans="1:2" x14ac:dyDescent="0.35">
      <c r="A14" s="1154" t="s">
        <v>1288</v>
      </c>
      <c r="B14" s="687"/>
    </row>
    <row r="15" spans="1:2" ht="43.5" x14ac:dyDescent="0.35">
      <c r="A15" s="676" t="s">
        <v>1289</v>
      </c>
      <c r="B15" s="687"/>
    </row>
    <row r="16" spans="1:2" ht="43.5" x14ac:dyDescent="0.35">
      <c r="A16" s="676" t="s">
        <v>1290</v>
      </c>
      <c r="B16" s="687"/>
    </row>
    <row r="17" spans="1:1" x14ac:dyDescent="0.35">
      <c r="A17" s="1152" t="s">
        <v>1291</v>
      </c>
    </row>
    <row r="18" spans="1:1" x14ac:dyDescent="0.35">
      <c r="A18" s="1152" t="s">
        <v>1292</v>
      </c>
    </row>
    <row r="19" spans="1:1" x14ac:dyDescent="0.35">
      <c r="A19" s="1153" t="s">
        <v>1293</v>
      </c>
    </row>
    <row r="20" spans="1:1" x14ac:dyDescent="0.35">
      <c r="A20" s="1153" t="s">
        <v>1294</v>
      </c>
    </row>
    <row r="21" spans="1:1" x14ac:dyDescent="0.35">
      <c r="A21" s="1153" t="s">
        <v>1295</v>
      </c>
    </row>
    <row r="22" spans="1:1" x14ac:dyDescent="0.35">
      <c r="A22" s="1153" t="s">
        <v>1296</v>
      </c>
    </row>
    <row r="23" spans="1:1" x14ac:dyDescent="0.35">
      <c r="A23" s="1153" t="s">
        <v>1297</v>
      </c>
    </row>
    <row r="24" spans="1:1" x14ac:dyDescent="0.35">
      <c r="A24" s="1153" t="s">
        <v>1298</v>
      </c>
    </row>
    <row r="25" spans="1:1" x14ac:dyDescent="0.35">
      <c r="A25" s="1152" t="s">
        <v>1299</v>
      </c>
    </row>
    <row r="26" spans="1:1" x14ac:dyDescent="0.35">
      <c r="A26" s="1153" t="s">
        <v>1300</v>
      </c>
    </row>
    <row r="27" spans="1:1" x14ac:dyDescent="0.35">
      <c r="A27" s="1153" t="s">
        <v>1301</v>
      </c>
    </row>
    <row r="28" spans="1:1" x14ac:dyDescent="0.35">
      <c r="A28" s="1153" t="s">
        <v>1302</v>
      </c>
    </row>
    <row r="29" spans="1:1" x14ac:dyDescent="0.35">
      <c r="A29" s="1152" t="s">
        <v>1303</v>
      </c>
    </row>
    <row r="30" spans="1:1" x14ac:dyDescent="0.35">
      <c r="A30" s="1152" t="s">
        <v>1304</v>
      </c>
    </row>
    <row r="31" spans="1:1" x14ac:dyDescent="0.35">
      <c r="A31" s="1153" t="s">
        <v>1305</v>
      </c>
    </row>
    <row r="32" spans="1:1" x14ac:dyDescent="0.35">
      <c r="A32" s="1153" t="s">
        <v>1306</v>
      </c>
    </row>
    <row r="33" spans="1:16" x14ac:dyDescent="0.35">
      <c r="A33" s="1153" t="s">
        <v>1307</v>
      </c>
      <c r="B33" s="687"/>
      <c r="C33" s="687"/>
      <c r="D33" s="687"/>
      <c r="E33" s="687"/>
      <c r="F33" s="687"/>
      <c r="G33" s="687"/>
      <c r="H33" s="687"/>
      <c r="I33" s="687"/>
      <c r="J33" s="687"/>
      <c r="K33" s="687"/>
      <c r="L33" s="687"/>
      <c r="M33" s="687"/>
      <c r="N33" s="687"/>
      <c r="O33" s="687"/>
      <c r="P33" s="687"/>
    </row>
    <row r="34" spans="1:16" x14ac:dyDescent="0.35">
      <c r="A34" s="1153" t="s">
        <v>1308</v>
      </c>
      <c r="B34" s="687"/>
      <c r="C34" s="687"/>
      <c r="D34" s="687"/>
      <c r="E34" s="687"/>
      <c r="F34" s="687"/>
      <c r="G34" s="687"/>
      <c r="H34" s="687"/>
      <c r="I34" s="687"/>
      <c r="J34" s="687"/>
      <c r="K34" s="687"/>
      <c r="L34" s="687"/>
      <c r="M34" s="687"/>
      <c r="N34" s="687"/>
      <c r="O34" s="687"/>
      <c r="P34" s="687"/>
    </row>
    <row r="35" spans="1:16" x14ac:dyDescent="0.35">
      <c r="A35" s="695" t="s">
        <v>1309</v>
      </c>
      <c r="B35" s="687"/>
      <c r="C35" s="687"/>
      <c r="D35" s="687"/>
      <c r="E35" s="687"/>
      <c r="F35" s="687"/>
      <c r="G35" s="687"/>
      <c r="H35" s="687"/>
      <c r="I35" s="687"/>
      <c r="J35" s="687"/>
      <c r="K35" s="687"/>
      <c r="L35" s="687"/>
      <c r="M35" s="687"/>
      <c r="N35" s="687"/>
      <c r="O35" s="687"/>
      <c r="P35" s="687"/>
    </row>
    <row r="36" spans="1:16" x14ac:dyDescent="0.35">
      <c r="A36" s="1152" t="s">
        <v>1310</v>
      </c>
      <c r="B36" s="687"/>
      <c r="C36" s="687"/>
      <c r="D36" s="687"/>
      <c r="E36" s="687"/>
      <c r="F36" s="687"/>
      <c r="G36" s="687"/>
      <c r="H36" s="687"/>
      <c r="I36" s="687"/>
      <c r="J36" s="687"/>
      <c r="K36" s="687"/>
      <c r="L36" s="687"/>
      <c r="M36" s="687"/>
      <c r="N36" s="687"/>
      <c r="O36" s="687"/>
      <c r="P36" s="687"/>
    </row>
    <row r="37" spans="1:16" x14ac:dyDescent="0.35">
      <c r="A37" s="1153" t="s">
        <v>1311</v>
      </c>
      <c r="B37" s="687"/>
      <c r="C37" s="687"/>
      <c r="D37" s="687"/>
      <c r="E37" s="687"/>
      <c r="F37" s="687"/>
      <c r="G37" s="687"/>
      <c r="H37" s="687"/>
      <c r="I37" s="687"/>
      <c r="J37" s="687"/>
      <c r="K37" s="687"/>
      <c r="L37" s="687"/>
      <c r="M37" s="687"/>
      <c r="N37" s="687"/>
      <c r="O37" s="687"/>
      <c r="P37" s="687"/>
    </row>
    <row r="38" spans="1:16" x14ac:dyDescent="0.35">
      <c r="A38" s="1153" t="s">
        <v>1312</v>
      </c>
      <c r="B38" s="687"/>
      <c r="C38" s="687"/>
      <c r="D38" s="687"/>
      <c r="E38" s="687"/>
      <c r="F38" s="687"/>
      <c r="G38" s="687"/>
      <c r="H38" s="687"/>
      <c r="I38" s="687"/>
      <c r="J38" s="687"/>
      <c r="K38" s="687"/>
      <c r="L38" s="687"/>
      <c r="M38" s="687"/>
      <c r="N38" s="687"/>
      <c r="O38" s="687"/>
      <c r="P38" s="687"/>
    </row>
    <row r="43" spans="1:16" ht="16" thickBot="1" x14ac:dyDescent="0.4">
      <c r="A43" s="1678"/>
      <c r="B43" s="1679" t="s">
        <v>72</v>
      </c>
      <c r="C43" s="1680"/>
      <c r="D43" s="1680"/>
      <c r="E43" s="1680"/>
      <c r="F43" s="1680"/>
      <c r="G43" s="1680"/>
      <c r="H43" s="1680"/>
      <c r="I43" s="1680"/>
      <c r="J43" s="1680"/>
      <c r="K43" s="1680"/>
      <c r="L43" s="1680"/>
      <c r="M43" s="1680"/>
      <c r="N43" s="1680"/>
      <c r="O43" s="1680"/>
      <c r="P43" s="1681"/>
    </row>
    <row r="44" spans="1:16" ht="15" thickTop="1" x14ac:dyDescent="0.35">
      <c r="A44" s="87"/>
      <c r="B44" s="87"/>
      <c r="C44" s="457"/>
      <c r="D44" s="457"/>
      <c r="E44" s="457"/>
      <c r="F44" s="457"/>
      <c r="G44" s="457"/>
      <c r="H44" s="457"/>
      <c r="I44" s="457"/>
      <c r="J44" s="457"/>
      <c r="K44" s="457"/>
      <c r="L44" s="457"/>
      <c r="M44" s="457"/>
      <c r="N44" s="457"/>
      <c r="O44" s="457"/>
      <c r="P44" s="457"/>
    </row>
  </sheetData>
  <mergeCells count="1">
    <mergeCell ref="A1:B1"/>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788E-4EAA-5446-B957-8302F39FCB32}">
  <dimension ref="A2:P67"/>
  <sheetViews>
    <sheetView zoomScale="115" zoomScaleNormal="115" workbookViewId="0">
      <selection activeCell="C3" sqref="C3"/>
    </sheetView>
  </sheetViews>
  <sheetFormatPr defaultColWidth="11.453125" defaultRowHeight="14.5" x14ac:dyDescent="0.35"/>
  <cols>
    <col min="1" max="1" width="12.1796875" customWidth="1"/>
    <col min="3" max="3" width="88.26953125" customWidth="1"/>
  </cols>
  <sheetData>
    <row r="2" spans="1:3" x14ac:dyDescent="0.35">
      <c r="A2" s="688" t="s">
        <v>1313</v>
      </c>
      <c r="B2" s="688" t="s">
        <v>1314</v>
      </c>
      <c r="C2" s="688" t="s">
        <v>1260</v>
      </c>
    </row>
    <row r="3" spans="1:3" ht="17.5" customHeight="1" x14ac:dyDescent="0.35">
      <c r="A3" s="1525" t="s">
        <v>1316</v>
      </c>
      <c r="B3" s="1526">
        <v>44421</v>
      </c>
      <c r="C3" s="1524" t="s">
        <v>1315</v>
      </c>
    </row>
    <row r="4" spans="1:3" x14ac:dyDescent="0.35">
      <c r="A4" s="1527"/>
      <c r="B4" s="1527"/>
      <c r="C4" s="1527"/>
    </row>
    <row r="5" spans="1:3" x14ac:dyDescent="0.35">
      <c r="A5" s="1527"/>
      <c r="B5" s="1527"/>
      <c r="C5" s="1527"/>
    </row>
    <row r="6" spans="1:3" x14ac:dyDescent="0.35">
      <c r="A6" s="1527"/>
      <c r="B6" s="1527"/>
      <c r="C6" s="1527"/>
    </row>
    <row r="7" spans="1:3" x14ac:dyDescent="0.35">
      <c r="A7" s="1527"/>
      <c r="B7" s="1527"/>
      <c r="C7" s="1527"/>
    </row>
    <row r="8" spans="1:3" x14ac:dyDescent="0.35">
      <c r="A8" s="1527"/>
      <c r="B8" s="1527"/>
      <c r="C8" s="1527"/>
    </row>
    <row r="9" spans="1:3" x14ac:dyDescent="0.35">
      <c r="A9" s="1527"/>
      <c r="B9" s="1527"/>
      <c r="C9" s="1527"/>
    </row>
    <row r="10" spans="1:3" x14ac:dyDescent="0.35">
      <c r="A10" s="1527"/>
      <c r="B10" s="1527"/>
      <c r="C10" s="1527"/>
    </row>
    <row r="11" spans="1:3" x14ac:dyDescent="0.35">
      <c r="A11" s="1527"/>
      <c r="B11" s="1527"/>
      <c r="C11" s="1527"/>
    </row>
    <row r="12" spans="1:3" x14ac:dyDescent="0.35">
      <c r="A12" s="1527"/>
      <c r="B12" s="1527"/>
      <c r="C12" s="1527"/>
    </row>
    <row r="13" spans="1:3" x14ac:dyDescent="0.35">
      <c r="A13" s="1527"/>
      <c r="B13" s="1527"/>
      <c r="C13" s="1527"/>
    </row>
    <row r="14" spans="1:3" x14ac:dyDescent="0.35">
      <c r="A14" s="1527"/>
      <c r="B14" s="1527"/>
      <c r="C14" s="1527"/>
    </row>
    <row r="15" spans="1:3" x14ac:dyDescent="0.35">
      <c r="A15" s="1527"/>
      <c r="B15" s="1527"/>
      <c r="C15" s="1527"/>
    </row>
    <row r="16" spans="1:3" x14ac:dyDescent="0.35">
      <c r="A16" s="1527"/>
      <c r="B16" s="1527"/>
      <c r="C16" s="1527"/>
    </row>
    <row r="17" spans="1:3" x14ac:dyDescent="0.35">
      <c r="A17" s="1527"/>
      <c r="B17" s="1527"/>
      <c r="C17" s="1527"/>
    </row>
    <row r="66" spans="1:16" ht="16" thickBot="1" x14ac:dyDescent="0.4">
      <c r="A66" s="1678"/>
      <c r="B66" s="1678"/>
      <c r="C66" s="1679" t="s">
        <v>72</v>
      </c>
      <c r="D66" s="1680"/>
      <c r="E66" s="1680"/>
      <c r="F66" s="1680"/>
      <c r="G66" s="1680"/>
      <c r="H66" s="1680"/>
      <c r="I66" s="1680"/>
      <c r="J66" s="1680"/>
      <c r="K66" s="1680"/>
      <c r="L66" s="1680"/>
      <c r="M66" s="1680"/>
      <c r="N66" s="1680"/>
      <c r="O66" s="1680"/>
      <c r="P66" s="1681"/>
    </row>
    <row r="67" spans="1:16" ht="15" thickTop="1" x14ac:dyDescent="0.35">
      <c r="A67" s="87"/>
      <c r="B67" s="87"/>
      <c r="C67" s="87"/>
      <c r="D67" s="457"/>
      <c r="E67" s="457"/>
      <c r="F67" s="457"/>
      <c r="G67" s="457"/>
      <c r="H67" s="457"/>
      <c r="I67" s="457"/>
      <c r="J67" s="457"/>
      <c r="K67" s="457"/>
      <c r="L67" s="457"/>
      <c r="M67" s="457"/>
      <c r="N67" s="457"/>
      <c r="O67" s="457"/>
      <c r="P67" s="4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W58"/>
  <sheetViews>
    <sheetView zoomScale="85" zoomScaleNormal="85" zoomScaleSheetLayoutView="80" workbookViewId="0">
      <selection activeCell="C62" sqref="C62"/>
    </sheetView>
  </sheetViews>
  <sheetFormatPr defaultColWidth="8.81640625" defaultRowHeight="14.5" x14ac:dyDescent="0.35"/>
  <cols>
    <col min="1" max="1" width="11.26953125" style="687" customWidth="1"/>
    <col min="2" max="2" width="31.81640625" customWidth="1"/>
    <col min="3" max="3" width="10.453125" customWidth="1"/>
    <col min="5" max="5" width="12.453125" style="687" customWidth="1"/>
  </cols>
  <sheetData>
    <row r="1" spans="1:23" ht="16" customHeight="1" x14ac:dyDescent="0.35">
      <c r="A1" s="1741" t="str">
        <f>(ghg_year&amp;" GHG Emissions for "&amp;company_name&amp;" - All Sources")</f>
        <v>2020 GHG Emissions for Low Carbon Brewing Company - All Sources</v>
      </c>
      <c r="B1" s="1742"/>
      <c r="C1" s="1742"/>
      <c r="D1" s="1743"/>
      <c r="E1" s="905"/>
      <c r="F1" s="687"/>
      <c r="G1" s="687"/>
      <c r="H1" s="687"/>
      <c r="I1" s="687"/>
      <c r="J1" s="687"/>
      <c r="K1" s="687"/>
      <c r="L1" s="687"/>
      <c r="M1" s="687"/>
      <c r="N1" s="687"/>
      <c r="O1" s="687"/>
      <c r="P1" s="687"/>
      <c r="Q1" s="687"/>
      <c r="R1" s="687"/>
      <c r="S1" s="687"/>
      <c r="T1" s="687"/>
      <c r="U1" s="687"/>
      <c r="V1" s="687"/>
      <c r="W1" s="687"/>
    </row>
    <row r="2" spans="1:23" ht="15" customHeight="1" x14ac:dyDescent="0.35">
      <c r="A2" s="1744"/>
      <c r="B2" s="1745"/>
      <c r="C2" s="1745"/>
      <c r="D2" s="1746"/>
      <c r="E2" s="957"/>
      <c r="F2" s="687"/>
      <c r="G2" s="687"/>
      <c r="H2" s="687"/>
      <c r="I2" s="687"/>
      <c r="J2" s="687"/>
      <c r="K2" s="687"/>
      <c r="L2" s="687"/>
      <c r="M2" s="687"/>
      <c r="N2" s="687"/>
      <c r="O2" s="687"/>
      <c r="P2" s="687"/>
      <c r="Q2" s="687"/>
      <c r="R2" s="687"/>
      <c r="S2" s="687"/>
      <c r="T2" s="687"/>
      <c r="U2" s="687"/>
      <c r="V2" s="687"/>
      <c r="W2" s="687"/>
    </row>
    <row r="3" spans="1:23" x14ac:dyDescent="0.35">
      <c r="A3" s="1735" t="s">
        <v>147</v>
      </c>
      <c r="B3" s="1474" t="s">
        <v>148</v>
      </c>
      <c r="C3" s="1163">
        <f>'Report-ScopeSummary'!J9</f>
        <v>6.6723953893956953E-2</v>
      </c>
      <c r="D3" s="1729">
        <f>SUM(C3:C6)</f>
        <v>0.10279664267766404</v>
      </c>
      <c r="E3" s="1050"/>
      <c r="F3" s="1050"/>
      <c r="G3" s="687"/>
      <c r="H3" s="687"/>
      <c r="I3" s="687"/>
      <c r="J3" s="687"/>
      <c r="K3" s="687"/>
      <c r="L3" s="687"/>
      <c r="M3" s="687"/>
      <c r="N3" s="687"/>
      <c r="O3" s="687"/>
      <c r="P3" s="687"/>
      <c r="Q3" s="687"/>
      <c r="R3" s="687"/>
      <c r="S3" s="687"/>
      <c r="T3" s="687"/>
      <c r="U3" s="687"/>
      <c r="V3" s="687"/>
      <c r="W3" s="687"/>
    </row>
    <row r="4" spans="1:23" x14ac:dyDescent="0.35">
      <c r="A4" s="1736"/>
      <c r="B4" s="1474" t="s">
        <v>149</v>
      </c>
      <c r="C4" s="1163">
        <f>'Report-ScopeSummary'!J21</f>
        <v>2.7919837458782334E-2</v>
      </c>
      <c r="D4" s="1730"/>
      <c r="E4" s="1050"/>
      <c r="F4" s="1050"/>
      <c r="G4" s="687"/>
      <c r="H4" s="687"/>
      <c r="I4" s="687"/>
      <c r="J4" s="687"/>
      <c r="K4" s="687"/>
      <c r="L4" s="687"/>
      <c r="M4" s="687"/>
      <c r="N4" s="687"/>
      <c r="O4" s="687"/>
      <c r="P4" s="687"/>
      <c r="Q4" s="687"/>
      <c r="R4" s="687"/>
      <c r="S4" s="687"/>
      <c r="T4" s="687"/>
      <c r="U4" s="687"/>
      <c r="V4" s="687"/>
      <c r="W4" s="687"/>
    </row>
    <row r="5" spans="1:23" x14ac:dyDescent="0.35">
      <c r="A5" s="1736"/>
      <c r="B5" s="1474" t="s">
        <v>150</v>
      </c>
      <c r="C5" s="1162">
        <f>'Report-ScopeSummary'!J31</f>
        <v>1.8749484551013513E-3</v>
      </c>
      <c r="D5" s="1730"/>
      <c r="E5" s="1050"/>
      <c r="F5" s="1050"/>
      <c r="G5" s="687"/>
      <c r="H5" s="687"/>
      <c r="I5" s="687"/>
      <c r="J5" s="687"/>
      <c r="K5" s="687"/>
      <c r="L5" s="687"/>
      <c r="M5" s="687"/>
      <c r="N5" s="687"/>
      <c r="O5" s="687"/>
      <c r="P5" s="687"/>
      <c r="Q5" s="687"/>
      <c r="R5" s="687"/>
      <c r="S5" s="687"/>
      <c r="T5" s="687"/>
      <c r="U5" s="687"/>
      <c r="V5" s="687"/>
      <c r="W5" s="687"/>
    </row>
    <row r="6" spans="1:23" x14ac:dyDescent="0.35">
      <c r="A6" s="1737"/>
      <c r="B6" s="1474" t="s">
        <v>151</v>
      </c>
      <c r="C6" s="1162">
        <f>'Report-ScopeSummary'!J12</f>
        <v>6.2779028698234148E-3</v>
      </c>
      <c r="D6" s="1731"/>
      <c r="E6" s="1050"/>
      <c r="F6" s="1050"/>
      <c r="G6" s="687"/>
      <c r="H6" s="687"/>
      <c r="I6" s="687"/>
      <c r="J6" s="687"/>
      <c r="K6" s="687"/>
      <c r="L6" s="687"/>
      <c r="M6" s="687"/>
      <c r="N6" s="687"/>
      <c r="O6" s="687"/>
      <c r="P6" s="687"/>
      <c r="Q6" s="687"/>
      <c r="R6" s="687"/>
      <c r="S6" s="687"/>
      <c r="T6" s="687"/>
      <c r="U6" s="687"/>
      <c r="V6" s="687"/>
      <c r="W6" s="687"/>
    </row>
    <row r="7" spans="1:23" x14ac:dyDescent="0.35">
      <c r="A7" s="1491" t="s">
        <v>152</v>
      </c>
      <c r="B7" s="1475" t="s">
        <v>153</v>
      </c>
      <c r="C7" s="196">
        <f>'Report-ScopeSummary'!J50</f>
        <v>7.378435046047277E-2</v>
      </c>
      <c r="D7" s="1493">
        <f>C7</f>
        <v>7.378435046047277E-2</v>
      </c>
      <c r="E7" s="1050"/>
      <c r="F7" s="1050"/>
      <c r="G7" s="687"/>
      <c r="H7" s="687"/>
      <c r="I7" s="687"/>
      <c r="J7" s="687"/>
      <c r="K7" s="687"/>
      <c r="L7" s="687"/>
      <c r="M7" s="687"/>
      <c r="N7" s="687"/>
      <c r="O7" s="687"/>
      <c r="P7" s="687"/>
      <c r="Q7" s="687"/>
      <c r="R7" s="687"/>
      <c r="S7" s="687"/>
      <c r="T7" s="687"/>
      <c r="U7" s="687"/>
      <c r="V7" s="687"/>
      <c r="W7" s="687"/>
    </row>
    <row r="8" spans="1:23" x14ac:dyDescent="0.35">
      <c r="A8" s="1738" t="s">
        <v>154</v>
      </c>
      <c r="B8" s="1476" t="s">
        <v>155</v>
      </c>
      <c r="C8" s="195">
        <f>'Report-ScopeSummary'!J101</f>
        <v>0.17638521858560802</v>
      </c>
      <c r="D8" s="1732">
        <f>SUM(C8:C19)</f>
        <v>0.8234190068618632</v>
      </c>
      <c r="E8" s="1050"/>
      <c r="F8" s="1050"/>
      <c r="G8" s="687"/>
      <c r="H8" s="687"/>
      <c r="I8" s="687"/>
      <c r="J8" s="687"/>
      <c r="K8" s="687"/>
      <c r="L8" s="687"/>
      <c r="M8" s="687"/>
      <c r="N8" s="687"/>
      <c r="O8" s="687"/>
      <c r="P8" s="687"/>
      <c r="Q8" s="687"/>
      <c r="R8" s="687"/>
      <c r="S8" s="687"/>
      <c r="T8" s="687"/>
      <c r="U8" s="687"/>
      <c r="V8" s="687"/>
      <c r="W8" s="687"/>
    </row>
    <row r="9" spans="1:23" x14ac:dyDescent="0.35">
      <c r="A9" s="1739"/>
      <c r="B9" s="1476" t="s">
        <v>156</v>
      </c>
      <c r="C9" s="195">
        <f>'Report-ScopeSummary'!J142</f>
        <v>0.18484332962130676</v>
      </c>
      <c r="D9" s="1733"/>
      <c r="E9" s="1050"/>
      <c r="F9" s="1050"/>
      <c r="G9" s="687"/>
      <c r="H9" s="687"/>
      <c r="I9" s="687"/>
      <c r="J9" s="687"/>
      <c r="K9" s="687"/>
      <c r="L9" s="687"/>
      <c r="M9" s="687"/>
      <c r="N9" s="687"/>
      <c r="O9" s="687"/>
      <c r="P9" s="687"/>
      <c r="Q9" s="687"/>
      <c r="R9" s="687"/>
      <c r="S9" s="687"/>
      <c r="T9" s="687"/>
      <c r="U9" s="687"/>
      <c r="V9" s="687"/>
      <c r="W9" s="687"/>
    </row>
    <row r="10" spans="1:23" x14ac:dyDescent="0.35">
      <c r="A10" s="1739"/>
      <c r="B10" s="1476" t="s">
        <v>157</v>
      </c>
      <c r="C10" s="195">
        <f>'Report-ScopeSummary'!J76</f>
        <v>0.10822724343294152</v>
      </c>
      <c r="D10" s="1733"/>
      <c r="E10" s="1050"/>
      <c r="F10" s="1050"/>
      <c r="G10" s="687"/>
      <c r="H10" s="687"/>
      <c r="I10" s="687"/>
      <c r="J10" s="687"/>
      <c r="K10" s="687"/>
      <c r="L10" s="687"/>
      <c r="M10" s="687"/>
      <c r="N10" s="687"/>
      <c r="O10" s="687"/>
      <c r="P10" s="687"/>
      <c r="Q10" s="687"/>
      <c r="R10" s="687"/>
      <c r="S10" s="687"/>
      <c r="T10" s="687"/>
      <c r="U10" s="687"/>
      <c r="V10" s="687"/>
      <c r="W10" s="687"/>
    </row>
    <row r="11" spans="1:23" s="514" customFormat="1" x14ac:dyDescent="0.35">
      <c r="A11" s="1739"/>
      <c r="B11" s="1476" t="s">
        <v>158</v>
      </c>
      <c r="C11" s="195">
        <f>'Report-ScopeSummary'!J124</f>
        <v>0.16350521713858371</v>
      </c>
      <c r="D11" s="1733"/>
      <c r="E11" s="1051"/>
      <c r="F11" s="1051"/>
      <c r="G11" s="687"/>
      <c r="H11" s="687"/>
      <c r="I11" s="687"/>
      <c r="J11" s="687"/>
      <c r="K11" s="687"/>
      <c r="L11" s="687"/>
      <c r="M11" s="687"/>
      <c r="N11" s="687"/>
      <c r="O11" s="687"/>
      <c r="P11" s="687"/>
      <c r="Q11" s="687"/>
      <c r="R11" s="687"/>
      <c r="S11" s="687"/>
      <c r="T11" s="687"/>
      <c r="U11" s="687"/>
      <c r="V11" s="687"/>
      <c r="W11" s="687"/>
    </row>
    <row r="12" spans="1:23" x14ac:dyDescent="0.35">
      <c r="A12" s="1739"/>
      <c r="B12" s="1476" t="s">
        <v>159</v>
      </c>
      <c r="C12" s="195">
        <f>'Report-ScopeSummary'!J146</f>
        <v>8.4904906503574268E-2</v>
      </c>
      <c r="D12" s="1733"/>
      <c r="E12" s="1050"/>
      <c r="F12" s="1050"/>
      <c r="G12" s="687"/>
      <c r="H12" s="687"/>
      <c r="I12" s="687"/>
      <c r="J12" s="687"/>
      <c r="K12" s="687"/>
      <c r="L12" s="687"/>
      <c r="M12" s="687"/>
      <c r="N12" s="687"/>
      <c r="O12" s="687"/>
      <c r="P12" s="687"/>
      <c r="Q12" s="687"/>
      <c r="R12" s="687"/>
      <c r="S12" s="687"/>
      <c r="T12" s="687"/>
      <c r="U12" s="687"/>
      <c r="V12" s="687"/>
      <c r="W12" s="687"/>
    </row>
    <row r="13" spans="1:23" x14ac:dyDescent="0.35">
      <c r="A13" s="1739"/>
      <c r="B13" s="1476" t="s">
        <v>160</v>
      </c>
      <c r="C13" s="195">
        <f>'Report-ScopeSummary'!J133</f>
        <v>6.7937602089152477E-2</v>
      </c>
      <c r="D13" s="1733"/>
      <c r="E13" s="1051"/>
      <c r="F13" s="1051"/>
      <c r="G13" s="687"/>
      <c r="H13" s="687"/>
      <c r="I13" s="687"/>
      <c r="J13" s="687"/>
      <c r="K13" s="687"/>
      <c r="L13" s="687"/>
      <c r="M13" s="687"/>
      <c r="N13" s="687"/>
      <c r="O13" s="687"/>
      <c r="P13" s="687"/>
      <c r="Q13" s="687"/>
      <c r="R13" s="687"/>
      <c r="S13" s="687"/>
      <c r="T13" s="687"/>
      <c r="U13" s="687"/>
      <c r="V13" s="687"/>
      <c r="W13" s="687"/>
    </row>
    <row r="14" spans="1:23" s="687" customFormat="1" x14ac:dyDescent="0.35">
      <c r="A14" s="1739"/>
      <c r="B14" s="1476" t="s">
        <v>161</v>
      </c>
      <c r="C14" s="195">
        <f>'Report-ScopeSummary'!J158</f>
        <v>1.9650635454398154E-2</v>
      </c>
      <c r="D14" s="1733"/>
      <c r="E14" s="1051"/>
      <c r="F14" s="1051"/>
    </row>
    <row r="15" spans="1:23" x14ac:dyDescent="0.35">
      <c r="A15" s="1739"/>
      <c r="B15" s="1476" t="s">
        <v>162</v>
      </c>
      <c r="C15" s="195">
        <f>'Report-ScopeSummary'!J149</f>
        <v>1.2719687940406186E-2</v>
      </c>
      <c r="D15" s="1733"/>
      <c r="E15" s="1051"/>
      <c r="F15" s="1051"/>
      <c r="G15" s="687"/>
      <c r="H15" s="687"/>
      <c r="I15" s="687"/>
      <c r="J15" s="687"/>
      <c r="K15" s="687"/>
      <c r="L15" s="687"/>
      <c r="M15" s="687"/>
      <c r="N15" s="687"/>
      <c r="O15" s="687"/>
      <c r="P15" s="687"/>
      <c r="Q15" s="687"/>
      <c r="R15" s="687"/>
      <c r="S15" s="687"/>
      <c r="T15" s="687"/>
      <c r="U15" s="687"/>
      <c r="V15" s="687"/>
      <c r="W15" s="687"/>
    </row>
    <row r="16" spans="1:23" x14ac:dyDescent="0.35">
      <c r="A16" s="1739"/>
      <c r="B16" s="1476" t="s">
        <v>163</v>
      </c>
      <c r="C16" s="704">
        <f>'Report-ScopeSummary'!J88</f>
        <v>2.7011063242473135E-3</v>
      </c>
      <c r="D16" s="1733"/>
      <c r="E16" s="1051"/>
      <c r="F16" s="1051"/>
      <c r="G16" s="687"/>
      <c r="H16" s="687"/>
      <c r="I16" s="687"/>
      <c r="J16" s="687"/>
      <c r="K16" s="687"/>
      <c r="L16" s="687"/>
      <c r="M16" s="687"/>
      <c r="N16" s="687"/>
      <c r="O16" s="687"/>
      <c r="P16" s="687"/>
      <c r="Q16" s="687"/>
      <c r="R16" s="687"/>
      <c r="S16" s="687"/>
      <c r="T16" s="687"/>
      <c r="U16" s="687"/>
      <c r="V16" s="687"/>
      <c r="W16" s="687"/>
    </row>
    <row r="17" spans="1:6" x14ac:dyDescent="0.35">
      <c r="A17" s="1739"/>
      <c r="B17" s="1476" t="s">
        <v>164</v>
      </c>
      <c r="C17" s="704">
        <f>'Report-ScopeSummary'!J73</f>
        <v>7.5498395540090518E-4</v>
      </c>
      <c r="D17" s="1733"/>
      <c r="E17" s="1051"/>
      <c r="F17" s="1051"/>
    </row>
    <row r="18" spans="1:6" x14ac:dyDescent="0.35">
      <c r="A18" s="1739"/>
      <c r="B18" s="1476" t="s">
        <v>165</v>
      </c>
      <c r="C18" s="704">
        <f>'Report-ScopeSummary'!J71</f>
        <v>1.744362315386113E-3</v>
      </c>
      <c r="D18" s="1733"/>
      <c r="E18" s="1051"/>
      <c r="F18" s="1051"/>
    </row>
    <row r="19" spans="1:6" x14ac:dyDescent="0.35">
      <c r="A19" s="1740"/>
      <c r="B19" s="1476" t="s">
        <v>166</v>
      </c>
      <c r="C19" s="128">
        <f>'Report-ScopeSummary'!J79</f>
        <v>4.4713500857729426E-5</v>
      </c>
      <c r="D19" s="1734"/>
      <c r="E19" s="1051"/>
      <c r="F19" s="1051"/>
    </row>
    <row r="20" spans="1:6" x14ac:dyDescent="0.35">
      <c r="B20" s="119"/>
      <c r="C20" s="91"/>
      <c r="D20" s="687"/>
      <c r="F20" s="687"/>
    </row>
    <row r="21" spans="1:6" x14ac:dyDescent="0.35">
      <c r="B21" s="687"/>
      <c r="C21" s="1188">
        <f>SUM(C3:C19)</f>
        <v>1</v>
      </c>
      <c r="D21" s="1189">
        <f>SUM(D3:D18)</f>
        <v>1</v>
      </c>
      <c r="E21" s="185"/>
      <c r="F21" s="687"/>
    </row>
    <row r="38" s="687" customFormat="1" x14ac:dyDescent="0.35"/>
    <row r="39" s="687" customFormat="1" x14ac:dyDescent="0.35"/>
    <row r="40" s="687" customFormat="1" x14ac:dyDescent="0.35"/>
    <row r="41" s="687" customFormat="1" x14ac:dyDescent="0.35"/>
    <row r="42" s="687" customFormat="1" x14ac:dyDescent="0.35"/>
    <row r="43" s="687" customFormat="1" x14ac:dyDescent="0.35"/>
    <row r="44" s="687" customFormat="1" x14ac:dyDescent="0.35"/>
    <row r="45" s="687" customFormat="1" x14ac:dyDescent="0.35"/>
    <row r="46" s="687" customFormat="1" x14ac:dyDescent="0.35"/>
    <row r="47" s="687" customFormat="1" x14ac:dyDescent="0.35"/>
    <row r="48" s="687" customFormat="1" x14ac:dyDescent="0.35"/>
    <row r="49" spans="1:20" s="687" customFormat="1" x14ac:dyDescent="0.35"/>
    <row r="56" spans="1:20" s="687" customFormat="1" ht="16" thickBot="1" x14ac:dyDescent="0.4">
      <c r="A56" s="1678"/>
      <c r="B56" s="1678"/>
      <c r="C56" s="1678"/>
      <c r="D56" s="1678"/>
      <c r="E56" s="1678"/>
      <c r="F56" s="1678"/>
      <c r="G56" s="1678"/>
      <c r="H56" s="1678"/>
      <c r="I56" s="1678"/>
      <c r="J56" s="1678"/>
      <c r="K56" s="1678"/>
      <c r="L56" s="1678"/>
      <c r="M56" s="1678"/>
      <c r="N56" s="1678"/>
      <c r="O56" s="1678"/>
      <c r="P56" s="1678"/>
      <c r="Q56" s="1678"/>
      <c r="R56" s="1678"/>
      <c r="S56" s="1678"/>
      <c r="T56" s="1679" t="s">
        <v>72</v>
      </c>
    </row>
    <row r="57" spans="1:20" s="687" customFormat="1" ht="15" thickTop="1" x14ac:dyDescent="0.35">
      <c r="A57" s="87"/>
      <c r="B57" s="87"/>
      <c r="C57" s="87"/>
      <c r="D57" s="87"/>
      <c r="E57" s="87"/>
      <c r="F57" s="87"/>
      <c r="G57" s="87"/>
      <c r="H57" s="87"/>
      <c r="I57" s="87"/>
      <c r="J57" s="87"/>
      <c r="K57" s="87"/>
      <c r="L57" s="87"/>
      <c r="M57" s="87"/>
      <c r="N57" s="87"/>
      <c r="O57" s="87"/>
      <c r="P57" s="87"/>
      <c r="Q57" s="87"/>
      <c r="R57" s="87"/>
      <c r="S57" s="87"/>
      <c r="T57" s="87"/>
    </row>
    <row r="58" spans="1:20" x14ac:dyDescent="0.35">
      <c r="A58" s="87"/>
      <c r="B58" s="87"/>
      <c r="C58" s="87"/>
      <c r="D58" s="87"/>
      <c r="E58" s="87"/>
      <c r="F58" s="87"/>
      <c r="G58" s="87"/>
      <c r="H58" s="87"/>
      <c r="I58" s="87"/>
      <c r="J58" s="87"/>
      <c r="K58" s="87"/>
      <c r="L58" s="87"/>
      <c r="M58" s="87"/>
      <c r="N58" s="87"/>
      <c r="O58" s="87"/>
      <c r="P58" s="87"/>
      <c r="Q58" s="87"/>
      <c r="R58" s="87"/>
      <c r="S58" s="87"/>
      <c r="T58" s="87"/>
    </row>
  </sheetData>
  <sortState xmlns:xlrd2="http://schemas.microsoft.com/office/spreadsheetml/2017/richdata2" ref="B3:C6">
    <sortCondition descending="1" ref="C3:C6"/>
  </sortState>
  <mergeCells count="5">
    <mergeCell ref="D3:D6"/>
    <mergeCell ref="D8:D19"/>
    <mergeCell ref="A3:A6"/>
    <mergeCell ref="A8:A19"/>
    <mergeCell ref="A1:D2"/>
  </mergeCells>
  <phoneticPr fontId="44" type="noConversion"/>
  <pageMargins left="0.7" right="0.7" top="0.75" bottom="0.75" header="0.3" footer="0.3"/>
  <pageSetup paperSize="11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C00000"/>
  </sheetPr>
  <dimension ref="A1:T186"/>
  <sheetViews>
    <sheetView zoomScaleNormal="100" workbookViewId="0">
      <selection activeCell="E164" sqref="E164"/>
    </sheetView>
  </sheetViews>
  <sheetFormatPr defaultColWidth="8.7265625" defaultRowHeight="13" x14ac:dyDescent="0.3"/>
  <cols>
    <col min="1" max="1" width="3.26953125" style="54" customWidth="1"/>
    <col min="2" max="2" width="36.453125" style="11" customWidth="1"/>
    <col min="3" max="3" width="18" style="11" customWidth="1"/>
    <col min="4" max="4" width="12.453125" style="11" customWidth="1"/>
    <col min="5" max="5" width="17.26953125" style="11" customWidth="1"/>
    <col min="6" max="6" width="10.7265625" style="11" customWidth="1"/>
    <col min="7" max="7" width="13.453125" style="11" customWidth="1"/>
    <col min="8" max="8" width="10.7265625" style="11" customWidth="1"/>
    <col min="9" max="9" width="12.453125" style="11" customWidth="1"/>
    <col min="10" max="10" width="13.453125" style="11" customWidth="1"/>
    <col min="11" max="11" width="16.26953125" style="857" customWidth="1"/>
    <col min="12" max="12" width="9.453125" style="11" customWidth="1"/>
    <col min="13" max="16384" width="8.7265625" style="11"/>
  </cols>
  <sheetData>
    <row r="1" spans="1:14" s="84" customFormat="1" ht="21.5" thickBot="1" x14ac:dyDescent="0.55000000000000004">
      <c r="A1" s="1795" t="str">
        <f>(company_name&amp;" GHG Emissions Summary "&amp;ghg_year)</f>
        <v>Low Carbon Brewing Company GHG Emissions Summary 2020</v>
      </c>
      <c r="B1" s="1795"/>
      <c r="C1" s="1795"/>
      <c r="D1" s="1795"/>
      <c r="E1" s="1795"/>
      <c r="F1" s="1795"/>
      <c r="G1" s="1795"/>
      <c r="H1" s="1795"/>
      <c r="I1" s="1795"/>
      <c r="J1" s="1795"/>
      <c r="K1" s="1796"/>
      <c r="N1" s="687"/>
    </row>
    <row r="2" spans="1:14" s="84" customFormat="1" ht="21.5" thickBot="1" x14ac:dyDescent="0.55000000000000004">
      <c r="A2" s="201"/>
      <c r="B2" s="201"/>
      <c r="C2" s="201"/>
      <c r="D2" s="201"/>
      <c r="E2" s="201"/>
      <c r="F2" s="201"/>
      <c r="G2" s="201"/>
      <c r="H2" s="201"/>
      <c r="I2" s="201"/>
      <c r="J2" s="201"/>
      <c r="K2" s="855"/>
      <c r="N2" s="687"/>
    </row>
    <row r="3" spans="1:14" s="84" customFormat="1" ht="19.5" customHeight="1" thickBot="1" x14ac:dyDescent="0.55000000000000004">
      <c r="A3" s="1771" t="s">
        <v>147</v>
      </c>
      <c r="B3" s="1772"/>
      <c r="C3" s="201"/>
      <c r="D3" s="201"/>
      <c r="E3" s="201"/>
      <c r="F3" s="201"/>
      <c r="G3" s="201"/>
      <c r="H3" s="201"/>
      <c r="I3" s="201"/>
      <c r="J3" s="201"/>
      <c r="K3" s="855"/>
      <c r="N3" s="690"/>
    </row>
    <row r="4" spans="1:14" ht="12.75" customHeight="1" x14ac:dyDescent="0.3">
      <c r="A4" s="1778"/>
      <c r="B4" s="1797" t="s">
        <v>167</v>
      </c>
      <c r="C4" s="1753" t="s">
        <v>168</v>
      </c>
      <c r="D4" s="1753" t="s">
        <v>169</v>
      </c>
      <c r="E4" s="1752" t="s">
        <v>170</v>
      </c>
      <c r="F4" s="1753"/>
      <c r="G4" s="1775" t="s">
        <v>171</v>
      </c>
      <c r="H4" s="1775" t="s">
        <v>172</v>
      </c>
      <c r="I4" s="1775" t="s">
        <v>173</v>
      </c>
      <c r="J4" s="1800" t="s">
        <v>174</v>
      </c>
      <c r="K4" s="1756" t="s">
        <v>175</v>
      </c>
    </row>
    <row r="5" spans="1:14" x14ac:dyDescent="0.3">
      <c r="A5" s="1778"/>
      <c r="B5" s="1798"/>
      <c r="C5" s="1755"/>
      <c r="D5" s="1755"/>
      <c r="E5" s="1754"/>
      <c r="F5" s="1755"/>
      <c r="G5" s="1776"/>
      <c r="H5" s="1776"/>
      <c r="I5" s="1776"/>
      <c r="J5" s="1801"/>
      <c r="K5" s="1757"/>
    </row>
    <row r="6" spans="1:14" ht="14" thickBot="1" x14ac:dyDescent="0.35">
      <c r="A6" s="1778"/>
      <c r="B6" s="1798"/>
      <c r="C6" s="1755"/>
      <c r="D6" s="1755"/>
      <c r="E6" s="1754"/>
      <c r="F6" s="1755"/>
      <c r="G6" s="1776"/>
      <c r="H6" s="1776"/>
      <c r="I6" s="1776"/>
      <c r="J6" s="1801"/>
      <c r="K6" s="1757"/>
      <c r="L6" s="1"/>
    </row>
    <row r="7" spans="1:14" ht="13.5" x14ac:dyDescent="0.3">
      <c r="A7" s="354"/>
      <c r="B7" s="1257" t="str">
        <f>("Natural Gas @"&amp;brew1_abb)</f>
        <v>Natural Gas @MAIN</v>
      </c>
      <c r="C7" s="1291">
        <f>'Brewery-Natural Gas'!F24</f>
        <v>188450</v>
      </c>
      <c r="D7" s="1262" t="s">
        <v>176</v>
      </c>
      <c r="E7" s="1297">
        <f>'Brewery-Natural Gas'!F26</f>
        <v>999915.7</v>
      </c>
      <c r="F7" s="1021" t="s">
        <v>177</v>
      </c>
      <c r="G7" s="1263">
        <f>E7/$E$9</f>
        <v>0.59019730660820546</v>
      </c>
      <c r="H7" s="1301">
        <f t="shared" ref="H7:H12" si="0">E7/$E$33</f>
        <v>0.38308933880211382</v>
      </c>
      <c r="I7" s="1264">
        <f t="shared" ref="I7:I12" si="1">E7/($E$33+$E$52)</f>
        <v>0.22301549659796521</v>
      </c>
      <c r="J7" s="1301">
        <f t="shared" ref="J7:J12" si="2">E7/$E$164</f>
        <v>3.9380297874463475E-2</v>
      </c>
      <c r="K7" s="1023">
        <f>'Brewery-Natural Gas'!F30</f>
        <v>8.1152006962561778</v>
      </c>
      <c r="L7" s="9"/>
    </row>
    <row r="8" spans="1:14" ht="13.5" x14ac:dyDescent="0.3">
      <c r="A8" s="354"/>
      <c r="B8" s="1258" t="str">
        <f>("Natural Gas @"&amp;brew2_abb)</f>
        <v>Natural Gas @2ND</v>
      </c>
      <c r="C8" s="1294">
        <f>'Brewery-Natural Gas'!F52</f>
        <v>130850</v>
      </c>
      <c r="D8" s="1259" t="s">
        <v>176</v>
      </c>
      <c r="E8" s="1298">
        <f>'Brewery-Natural Gas'!F54</f>
        <v>694290.1</v>
      </c>
      <c r="F8" s="792" t="s">
        <v>177</v>
      </c>
      <c r="G8" s="1260">
        <f>E8/$E$9</f>
        <v>0.40980269339179459</v>
      </c>
      <c r="H8" s="135">
        <f t="shared" si="0"/>
        <v>0.2659975589400721</v>
      </c>
      <c r="I8" s="1261">
        <f t="shared" si="1"/>
        <v>0.15485050533215042</v>
      </c>
      <c r="J8" s="135">
        <f t="shared" si="2"/>
        <v>2.7343656019493481E-2</v>
      </c>
      <c r="K8" s="1020">
        <f>'Brewery-Natural Gas'!F58</f>
        <v>7.8886899206535928</v>
      </c>
      <c r="L8" s="9"/>
    </row>
    <row r="9" spans="1:14" s="12" customFormat="1" ht="18" customHeight="1" thickBot="1" x14ac:dyDescent="0.35">
      <c r="A9" s="354"/>
      <c r="B9" s="1289" t="s">
        <v>178</v>
      </c>
      <c r="C9" s="1290">
        <f>'Brewery-Natural Gas'!F64</f>
        <v>319300</v>
      </c>
      <c r="D9" s="1295" t="s">
        <v>176</v>
      </c>
      <c r="E9" s="1299">
        <f>'Brewery-Natural Gas'!F65</f>
        <v>1694205.7999999998</v>
      </c>
      <c r="F9" s="1059" t="s">
        <v>177</v>
      </c>
      <c r="G9" s="1300">
        <f>SUM(G7:G8)</f>
        <v>1</v>
      </c>
      <c r="H9" s="1061">
        <f t="shared" si="0"/>
        <v>0.64908689774218586</v>
      </c>
      <c r="I9" s="1300">
        <f t="shared" si="1"/>
        <v>0.3778660019301156</v>
      </c>
      <c r="J9" s="1061">
        <f t="shared" si="2"/>
        <v>6.6723953893956953E-2</v>
      </c>
      <c r="K9" s="1302">
        <f>'Brewery-Natural Gas'!F69</f>
        <v>8.0208212064217665</v>
      </c>
    </row>
    <row r="10" spans="1:14" s="12" customFormat="1" x14ac:dyDescent="0.3">
      <c r="A10" s="354"/>
      <c r="B10" s="1257" t="str">
        <f>("Flaring @"&amp;brew1_abb)</f>
        <v>Flaring @MAIN</v>
      </c>
      <c r="C10" s="1291">
        <f>'Brewery-Flaring'!G16</f>
        <v>2754.6759450000027</v>
      </c>
      <c r="D10" s="1262" t="s">
        <v>179</v>
      </c>
      <c r="E10" s="1297">
        <f>'Brewery-Flaring'!G18</f>
        <v>77130.926460000075</v>
      </c>
      <c r="F10" s="1021" t="s">
        <v>177</v>
      </c>
      <c r="G10" s="1263">
        <f>E10/$E$12</f>
        <v>0.48387096774193555</v>
      </c>
      <c r="H10" s="1301">
        <f t="shared" si="0"/>
        <v>2.9550526728159079E-2</v>
      </c>
      <c r="I10" s="1264">
        <f t="shared" si="1"/>
        <v>1.7202842067124312E-2</v>
      </c>
      <c r="J10" s="1301">
        <f t="shared" si="2"/>
        <v>3.0376949370113301E-3</v>
      </c>
      <c r="K10" s="1023">
        <f>'Brewery-Flaring'!G22</f>
        <v>0.6259857187071638</v>
      </c>
    </row>
    <row r="11" spans="1:14" s="12" customFormat="1" x14ac:dyDescent="0.3">
      <c r="A11" s="354"/>
      <c r="B11" s="1258" t="str">
        <f>("Flaring @"&amp;brew2_abb)</f>
        <v>Flaring @2ND</v>
      </c>
      <c r="C11" s="1292">
        <f>'Brewery-Flaring'!L16</f>
        <v>2938.3210080000022</v>
      </c>
      <c r="D11" s="1296" t="s">
        <v>179</v>
      </c>
      <c r="E11" s="1298">
        <f>'Brewery-Flaring'!L18</f>
        <v>82272.988224000059</v>
      </c>
      <c r="F11" s="792" t="s">
        <v>177</v>
      </c>
      <c r="G11" s="1260">
        <f>E11/$E$12</f>
        <v>0.5161290322580645</v>
      </c>
      <c r="H11" s="135">
        <f t="shared" si="0"/>
        <v>3.1520561843369675E-2</v>
      </c>
      <c r="I11" s="1303">
        <f t="shared" si="1"/>
        <v>1.8349698204932593E-2</v>
      </c>
      <c r="J11" s="135">
        <f t="shared" si="2"/>
        <v>3.2402079328120847E-3</v>
      </c>
      <c r="K11" s="1018">
        <f>'Brewery-Flaring'!L22</f>
        <v>0.9348053399360311</v>
      </c>
    </row>
    <row r="12" spans="1:14" s="12" customFormat="1" ht="20.149999999999999" customHeight="1" thickBot="1" x14ac:dyDescent="0.35">
      <c r="A12" s="354"/>
      <c r="B12" s="1289" t="s">
        <v>180</v>
      </c>
      <c r="C12" s="1293">
        <f>SUM(C10:C11)</f>
        <v>5692.9969530000053</v>
      </c>
      <c r="D12" s="1063" t="s">
        <v>181</v>
      </c>
      <c r="E12" s="1064">
        <f>'Brewery-Flaring'!B25</f>
        <v>159403.91468400013</v>
      </c>
      <c r="F12" s="1065" t="s">
        <v>177</v>
      </c>
      <c r="G12" s="1060">
        <f>SUM(G10:G11)</f>
        <v>1</v>
      </c>
      <c r="H12" s="1066">
        <f t="shared" si="0"/>
        <v>6.107108857152875E-2</v>
      </c>
      <c r="I12" s="1066">
        <f t="shared" si="1"/>
        <v>3.5552540272056905E-2</v>
      </c>
      <c r="J12" s="1066">
        <f t="shared" si="2"/>
        <v>6.2779028698234148E-3</v>
      </c>
      <c r="K12" s="1067">
        <f>'Brewery-Flaring'!B29</f>
        <v>0.75466056088585842</v>
      </c>
    </row>
    <row r="13" spans="1:14" s="12" customFormat="1" x14ac:dyDescent="0.3">
      <c r="A13" s="354"/>
      <c r="B13" s="1015" t="str">
        <f>("Fugitive (stationary) @"&amp;brew1_abb)</f>
        <v>Fugitive (stationary) @MAIN</v>
      </c>
      <c r="C13" s="1025"/>
      <c r="D13" s="1016"/>
      <c r="E13" s="1026"/>
      <c r="F13" s="1027"/>
      <c r="G13" s="1028"/>
      <c r="H13" s="1028"/>
      <c r="I13" s="1029"/>
      <c r="J13" s="1029"/>
      <c r="K13" s="1023"/>
    </row>
    <row r="14" spans="1:14" s="12" customFormat="1" x14ac:dyDescent="0.3">
      <c r="A14" s="354"/>
      <c r="B14" s="1017" t="s">
        <v>182</v>
      </c>
      <c r="C14" s="939">
        <f>'Brewery-Fugitive'!B26</f>
        <v>30</v>
      </c>
      <c r="D14" s="908" t="s">
        <v>183</v>
      </c>
      <c r="E14" s="57">
        <f>'Brewery-Fugitive'!B27</f>
        <v>23768.220800000003</v>
      </c>
      <c r="F14" s="66" t="s">
        <v>177</v>
      </c>
      <c r="G14" s="134">
        <f>E14/$E$21</f>
        <v>3.3527363038976132E-2</v>
      </c>
      <c r="H14" s="134">
        <f>E14/$E$33</f>
        <v>9.1061196366600209E-3</v>
      </c>
      <c r="I14" s="134">
        <f>E14/($E$33+$E$52)</f>
        <v>5.3011284500904298E-3</v>
      </c>
      <c r="J14" s="134">
        <f>E14/$E$164</f>
        <v>9.3607852646980017E-4</v>
      </c>
      <c r="K14" s="1018">
        <f>'Brewery-Fugitive'!B29</f>
        <v>0.19290014346702489</v>
      </c>
    </row>
    <row r="15" spans="1:14" s="12" customFormat="1" x14ac:dyDescent="0.3">
      <c r="A15" s="354"/>
      <c r="B15" s="1019" t="s">
        <v>184</v>
      </c>
      <c r="C15" s="940">
        <f>'Brewery-Fugitive'!B33</f>
        <v>500000</v>
      </c>
      <c r="D15" s="910" t="s">
        <v>185</v>
      </c>
      <c r="E15" s="791">
        <f>'Brewery-Fugitive'!B40</f>
        <v>201660.10867274</v>
      </c>
      <c r="F15" s="792" t="s">
        <v>177</v>
      </c>
      <c r="G15" s="135">
        <f>E15/$E$21</f>
        <v>0.28446099229902527</v>
      </c>
      <c r="H15" s="135">
        <f>E15/$E$33</f>
        <v>7.7260350741769915E-2</v>
      </c>
      <c r="I15" s="135">
        <f>E15/($E$33+$E$52)</f>
        <v>4.4977120850938475E-2</v>
      </c>
      <c r="J15" s="135">
        <f>E15/$E$164</f>
        <v>7.9421046683527188E-3</v>
      </c>
      <c r="K15" s="1020">
        <f>'Brewery-Fugitive'!B42</f>
        <v>1.6366502239219929</v>
      </c>
    </row>
    <row r="16" spans="1:14" s="12" customFormat="1" x14ac:dyDescent="0.3">
      <c r="A16" s="354"/>
      <c r="B16" s="1033" t="str">
        <f>("Total "&amp;brew1_abb&amp;" Fugitive")</f>
        <v>Total MAIN Fugitive</v>
      </c>
      <c r="C16" s="1057"/>
      <c r="D16" s="1052"/>
      <c r="E16" s="1053">
        <f>'Brewery-Fugitive'!B46</f>
        <v>225428.32947274001</v>
      </c>
      <c r="F16" s="1056" t="s">
        <v>177</v>
      </c>
      <c r="G16" s="1055"/>
      <c r="H16" s="1055"/>
      <c r="I16" s="1055"/>
      <c r="J16" s="1055"/>
      <c r="K16" s="1058">
        <f>SUM(K14:K15)</f>
        <v>1.8295503673890177</v>
      </c>
    </row>
    <row r="17" spans="1:12" s="12" customFormat="1" x14ac:dyDescent="0.3">
      <c r="A17" s="354"/>
      <c r="B17" s="1256" t="str">
        <f>("Fugitive (stationary) @"&amp;brew2_abb)</f>
        <v>Fugitive (stationary) @2ND</v>
      </c>
      <c r="C17" s="721"/>
      <c r="D17" s="908"/>
      <c r="E17" s="720"/>
      <c r="F17" s="66"/>
      <c r="G17" s="134"/>
      <c r="H17" s="134"/>
      <c r="I17" s="134"/>
      <c r="J17" s="134"/>
      <c r="K17" s="1018"/>
    </row>
    <row r="18" spans="1:12" x14ac:dyDescent="0.3">
      <c r="A18" s="354"/>
      <c r="B18" s="1017" t="s">
        <v>182</v>
      </c>
      <c r="C18" s="939">
        <f>'Brewery-Fugitive'!B71</f>
        <v>210</v>
      </c>
      <c r="D18" s="908" t="s">
        <v>183</v>
      </c>
      <c r="E18" s="57">
        <f>'Brewery-Fugitive'!B72</f>
        <v>365368.35599999997</v>
      </c>
      <c r="F18" s="66" t="s">
        <v>177</v>
      </c>
      <c r="G18" s="134">
        <f>E18/$E$21</f>
        <v>0.51538723144838305</v>
      </c>
      <c r="H18" s="134">
        <f>E18/$E$33</f>
        <v>0.1399805222772833</v>
      </c>
      <c r="I18" s="134">
        <f>E18/($E$33+$E$52)</f>
        <v>8.1489674934119086E-2</v>
      </c>
      <c r="J18" s="134">
        <f>E18/$E$164</f>
        <v>1.4389527730370685E-2</v>
      </c>
      <c r="K18" s="1018">
        <f>'Brewery-Fugitive'!B74</f>
        <v>4.1514025150336629</v>
      </c>
    </row>
    <row r="19" spans="1:12" x14ac:dyDescent="0.3">
      <c r="A19" s="354"/>
      <c r="B19" s="1017" t="s">
        <v>184</v>
      </c>
      <c r="C19" s="939">
        <f>'Brewery-Fugitive'!B78</f>
        <v>300000</v>
      </c>
      <c r="D19" s="908" t="s">
        <v>185</v>
      </c>
      <c r="E19" s="57">
        <f>'Brewery-Fugitive'!B85</f>
        <v>118123.39190910001</v>
      </c>
      <c r="F19" s="66" t="s">
        <v>177</v>
      </c>
      <c r="G19" s="134">
        <f>E19/$E$21</f>
        <v>0.16662441321361554</v>
      </c>
      <c r="H19" s="134">
        <f>E19/$E$33</f>
        <v>4.5255627152889076E-2</v>
      </c>
      <c r="I19" s="134">
        <f>E19/($E$33+$E$52)</f>
        <v>2.6345567837812733E-2</v>
      </c>
      <c r="J19" s="134">
        <f>E19/$E$164</f>
        <v>4.6521265335891298E-3</v>
      </c>
      <c r="K19" s="1018">
        <f>'Brewery-Fugitive'!B87</f>
        <v>1.3421461880944743</v>
      </c>
      <c r="L19" s="47"/>
    </row>
    <row r="20" spans="1:12" x14ac:dyDescent="0.3">
      <c r="A20" s="354"/>
      <c r="B20" s="1033" t="str">
        <f>("Total "&amp;brew2_abb&amp;" Fugitive")</f>
        <v>Total 2ND Fugitive</v>
      </c>
      <c r="C20" s="1057"/>
      <c r="D20" s="1052"/>
      <c r="E20" s="1053">
        <f>'Brewery-Fugitive'!B91</f>
        <v>483491.74790909997</v>
      </c>
      <c r="F20" s="1056" t="s">
        <v>177</v>
      </c>
      <c r="G20" s="1054"/>
      <c r="H20" s="1054"/>
      <c r="I20" s="1055"/>
      <c r="J20" s="1054"/>
      <c r="K20" s="1058">
        <f>SUM(K18:K19)</f>
        <v>5.4935487031281376</v>
      </c>
      <c r="L20" s="47"/>
    </row>
    <row r="21" spans="1:12" ht="17.149999999999999" customHeight="1" thickBot="1" x14ac:dyDescent="0.35">
      <c r="A21" s="354"/>
      <c r="B21" s="1062" t="s">
        <v>186</v>
      </c>
      <c r="C21" s="1068">
        <f>SUM(C15,C19)</f>
        <v>800000</v>
      </c>
      <c r="D21" s="1063" t="s">
        <v>187</v>
      </c>
      <c r="E21" s="1064">
        <f>'Brewery-Fugitive'!B99</f>
        <v>708920.07738183998</v>
      </c>
      <c r="F21" s="1065" t="s">
        <v>177</v>
      </c>
      <c r="G21" s="1069">
        <f>SUM(G14:G19)</f>
        <v>1</v>
      </c>
      <c r="H21" s="1069">
        <f>E21/$E$33</f>
        <v>0.27160261980860229</v>
      </c>
      <c r="I21" s="1066">
        <f>E21/($E$33+$E$52)</f>
        <v>0.15811349207296072</v>
      </c>
      <c r="J21" s="1069">
        <f>E21/$E$164</f>
        <v>2.7919837458782334E-2</v>
      </c>
      <c r="K21" s="1070">
        <f>'Brewery-Fugitive'!B101</f>
        <v>3.3562163406136509</v>
      </c>
      <c r="L21" s="47"/>
    </row>
    <row r="22" spans="1:12" s="15" customFormat="1" ht="12.75" customHeight="1" x14ac:dyDescent="0.3">
      <c r="A22" s="354"/>
      <c r="B22" s="1015" t="s">
        <v>188</v>
      </c>
      <c r="C22" s="1025"/>
      <c r="D22" s="1016"/>
      <c r="E22" s="1026"/>
      <c r="F22" s="1021"/>
      <c r="G22" s="1031"/>
      <c r="H22" s="1022"/>
      <c r="I22" s="1032"/>
      <c r="J22" s="1031"/>
      <c r="K22" s="1023"/>
    </row>
    <row r="23" spans="1:12" s="15" customFormat="1" x14ac:dyDescent="0.3">
      <c r="A23" s="354"/>
      <c r="B23" s="1017" t="str">
        <f>IF('Brewery-Vehicle Fleet'!B9&gt;0,'Brewery-Vehicle Fleet'!B9,"")</f>
        <v>Cars - All Electric</v>
      </c>
      <c r="C23" s="1175">
        <f>'Brewery-Vehicle Fleet'!F9</f>
        <v>5000</v>
      </c>
      <c r="D23" s="908" t="s">
        <v>189</v>
      </c>
      <c r="E23" s="57">
        <f>'Brewery-Vehicle Fleet'!C9</f>
        <v>400</v>
      </c>
      <c r="F23" s="66" t="s">
        <v>177</v>
      </c>
      <c r="G23" s="134">
        <f t="shared" ref="G23:G30" si="3">E23/$E$31</f>
        <v>8.4020694662402719E-3</v>
      </c>
      <c r="H23" s="134">
        <f t="shared" ref="H23:H31" si="4">E23/$E$33</f>
        <v>1.5324865438240997E-4</v>
      </c>
      <c r="I23" s="134">
        <f t="shared" ref="I23:I31" si="5">E23/($E$33+$E$52)</f>
        <v>8.9213719355727778E-5</v>
      </c>
      <c r="J23" s="134">
        <f t="shared" ref="J23:J31" si="6">E23/$E$164</f>
        <v>1.5753447165381434E-5</v>
      </c>
      <c r="K23" s="1018">
        <f>'Brewery-Vehicle Fleet'!H9</f>
        <v>1.8937064685817433E-3</v>
      </c>
    </row>
    <row r="24" spans="1:12" s="14" customFormat="1" x14ac:dyDescent="0.3">
      <c r="A24" s="354"/>
      <c r="B24" s="1017" t="str">
        <f>IF('Brewery-Vehicle Fleet'!B10&gt;0,'Brewery-Vehicle Fleet'!B10,"")</f>
        <v>Cars - Hybrid</v>
      </c>
      <c r="C24" s="1175">
        <f>'Brewery-Vehicle Fleet'!F10</f>
        <v>20000</v>
      </c>
      <c r="D24" s="908" t="s">
        <v>189</v>
      </c>
      <c r="E24" s="57">
        <f>'Brewery-Vehicle Fleet'!C10</f>
        <v>4233.3333333333339</v>
      </c>
      <c r="F24" s="66" t="s">
        <v>177</v>
      </c>
      <c r="G24" s="134">
        <f t="shared" si="3"/>
        <v>8.8921901851042887E-2</v>
      </c>
      <c r="H24" s="134">
        <f t="shared" si="4"/>
        <v>1.6218815922138391E-3</v>
      </c>
      <c r="I24" s="134">
        <f t="shared" si="5"/>
        <v>9.441785298481191E-4</v>
      </c>
      <c r="J24" s="134">
        <f t="shared" si="6"/>
        <v>1.6672398250028685E-4</v>
      </c>
      <c r="K24" s="1018">
        <f>'Brewery-Vehicle Fleet'!H10</f>
        <v>2.0041726792490118E-2</v>
      </c>
    </row>
    <row r="25" spans="1:12" s="14" customFormat="1" x14ac:dyDescent="0.3">
      <c r="A25" s="354"/>
      <c r="B25" s="1017" t="str">
        <f>IF('Brewery-Vehicle Fleet'!B11&gt;0,'Brewery-Vehicle Fleet'!B11,"")</f>
        <v>Cars - All Other (ICE)</v>
      </c>
      <c r="C25" s="1175">
        <f>'Brewery-Vehicle Fleet'!F11</f>
        <v>30000</v>
      </c>
      <c r="D25" s="908" t="s">
        <v>189</v>
      </c>
      <c r="E25" s="57">
        <f>'Brewery-Vehicle Fleet'!C11</f>
        <v>11595.652173913044</v>
      </c>
      <c r="F25" s="66" t="s">
        <v>177</v>
      </c>
      <c r="G25" s="134">
        <f t="shared" si="3"/>
        <v>0.24356868767894355</v>
      </c>
      <c r="H25" s="134">
        <f t="shared" si="4"/>
        <v>4.4425452308466023E-3</v>
      </c>
      <c r="I25" s="134">
        <f t="shared" si="5"/>
        <v>2.5862281469752825E-3</v>
      </c>
      <c r="J25" s="134">
        <f t="shared" si="6"/>
        <v>4.5667873467469876E-4</v>
      </c>
      <c r="K25" s="1018">
        <f>'Brewery-Vehicle Fleet'!H11</f>
        <v>5.4896903822907711E-2</v>
      </c>
    </row>
    <row r="26" spans="1:12" s="14" customFormat="1" x14ac:dyDescent="0.3">
      <c r="A26" s="354"/>
      <c r="B26" s="1017" t="str">
        <f>IF('Brewery-Vehicle Fleet'!B12&gt;0,'Brewery-Vehicle Fleet'!B12,"")</f>
        <v>Light Duty Trucks</v>
      </c>
      <c r="C26" s="1175">
        <f>'Brewery-Vehicle Fleet'!F12</f>
        <v>10000</v>
      </c>
      <c r="D26" s="908" t="s">
        <v>189</v>
      </c>
      <c r="E26" s="57">
        <f>'Brewery-Vehicle Fleet'!C12</f>
        <v>4445</v>
      </c>
      <c r="F26" s="66" t="s">
        <v>177</v>
      </c>
      <c r="G26" s="134">
        <f t="shared" si="3"/>
        <v>9.3367996943595016E-2</v>
      </c>
      <c r="H26" s="134">
        <f t="shared" si="4"/>
        <v>1.7029756718245307E-3</v>
      </c>
      <c r="I26" s="134">
        <f t="shared" si="5"/>
        <v>9.9138745634052487E-4</v>
      </c>
      <c r="J26" s="134">
        <f t="shared" si="6"/>
        <v>1.7506018162530119E-4</v>
      </c>
      <c r="K26" s="1018">
        <f>'Brewery-Vehicle Fleet'!H12</f>
        <v>2.1043813132114623E-2</v>
      </c>
    </row>
    <row r="27" spans="1:12" s="14" customFormat="1" x14ac:dyDescent="0.3">
      <c r="A27" s="354"/>
      <c r="B27" s="1017" t="str">
        <f>IF('Brewery-Vehicle Fleet'!B13&gt;0,'Brewery-Vehicle Fleet'!B13,"")</f>
        <v>Delivery Trucks</v>
      </c>
      <c r="C27" s="1175">
        <f>'Brewery-Vehicle Fleet'!F13</f>
        <v>20000</v>
      </c>
      <c r="D27" s="908" t="s">
        <v>189</v>
      </c>
      <c r="E27" s="57">
        <f>'Brewery-Vehicle Fleet'!C13</f>
        <v>26933.333333333332</v>
      </c>
      <c r="F27" s="66" t="s">
        <v>177</v>
      </c>
      <c r="G27" s="134">
        <f t="shared" si="3"/>
        <v>0.56573934406017823</v>
      </c>
      <c r="H27" s="134">
        <f t="shared" si="4"/>
        <v>1.0318742728415604E-2</v>
      </c>
      <c r="I27" s="134">
        <f t="shared" si="5"/>
        <v>6.0070571032856696E-3</v>
      </c>
      <c r="J27" s="134">
        <f t="shared" si="6"/>
        <v>1.0607321091356831E-3</v>
      </c>
      <c r="K27" s="1018">
        <f>'Brewery-Vehicle Fleet'!H13</f>
        <v>0.12750956888450404</v>
      </c>
    </row>
    <row r="28" spans="1:12" s="14" customFormat="1" x14ac:dyDescent="0.3">
      <c r="A28" s="354"/>
      <c r="B28" s="1017" t="str">
        <f>IF('Brewery-Vehicle Fleet'!B14&gt;0,'Brewery-Vehicle Fleet'!B14,"")</f>
        <v/>
      </c>
      <c r="C28" s="1175">
        <f>'Brewery-Vehicle Fleet'!F14</f>
        <v>0</v>
      </c>
      <c r="D28" s="908" t="s">
        <v>189</v>
      </c>
      <c r="E28" s="57">
        <f>'Brewery-Vehicle Fleet'!C14</f>
        <v>0</v>
      </c>
      <c r="F28" s="66" t="s">
        <v>177</v>
      </c>
      <c r="G28" s="134">
        <f t="shared" si="3"/>
        <v>0</v>
      </c>
      <c r="H28" s="134">
        <f t="shared" si="4"/>
        <v>0</v>
      </c>
      <c r="I28" s="134">
        <f t="shared" si="5"/>
        <v>0</v>
      </c>
      <c r="J28" s="134">
        <f t="shared" si="6"/>
        <v>0</v>
      </c>
      <c r="K28" s="1018">
        <f>'Brewery-Vehicle Fleet'!H14</f>
        <v>0</v>
      </c>
    </row>
    <row r="29" spans="1:12" s="14" customFormat="1" x14ac:dyDescent="0.3">
      <c r="A29" s="354"/>
      <c r="B29" s="1017" t="str">
        <f>IF('Brewery-Vehicle Fleet'!B15&gt;0,'Brewery-Vehicle Fleet'!B15,"")</f>
        <v/>
      </c>
      <c r="C29" s="1175">
        <f>'Brewery-Vehicle Fleet'!F15</f>
        <v>0</v>
      </c>
      <c r="D29" s="908" t="s">
        <v>189</v>
      </c>
      <c r="E29" s="57">
        <f>'Brewery-Vehicle Fleet'!C15</f>
        <v>0</v>
      </c>
      <c r="F29" s="66" t="s">
        <v>177</v>
      </c>
      <c r="G29" s="134">
        <f t="shared" si="3"/>
        <v>0</v>
      </c>
      <c r="H29" s="134">
        <f t="shared" si="4"/>
        <v>0</v>
      </c>
      <c r="I29" s="134">
        <f t="shared" si="5"/>
        <v>0</v>
      </c>
      <c r="J29" s="134">
        <f t="shared" si="6"/>
        <v>0</v>
      </c>
      <c r="K29" s="1018">
        <f>'Brewery-Vehicle Fleet'!H15</f>
        <v>0</v>
      </c>
    </row>
    <row r="30" spans="1:12" s="14" customFormat="1" x14ac:dyDescent="0.3">
      <c r="A30" s="354"/>
      <c r="B30" s="1017" t="str">
        <f>IF('Brewery-Vehicle Fleet'!B16&gt;0,'Brewery-Vehicle Fleet'!B16,"")</f>
        <v/>
      </c>
      <c r="C30" s="1175">
        <f>'Brewery-Vehicle Fleet'!F16</f>
        <v>0</v>
      </c>
      <c r="D30" s="908" t="s">
        <v>189</v>
      </c>
      <c r="E30" s="57">
        <f>'Brewery-Vehicle Fleet'!C16</f>
        <v>0</v>
      </c>
      <c r="F30" s="66" t="s">
        <v>177</v>
      </c>
      <c r="G30" s="135">
        <f t="shared" si="3"/>
        <v>0</v>
      </c>
      <c r="H30" s="135">
        <f t="shared" si="4"/>
        <v>0</v>
      </c>
      <c r="I30" s="135">
        <f t="shared" si="5"/>
        <v>0</v>
      </c>
      <c r="J30" s="135">
        <f t="shared" si="6"/>
        <v>0</v>
      </c>
      <c r="K30" s="1020">
        <f>'Brewery-Vehicle Fleet'!H16</f>
        <v>0</v>
      </c>
    </row>
    <row r="31" spans="1:12" s="14" customFormat="1" ht="18" customHeight="1" x14ac:dyDescent="0.3">
      <c r="A31" s="354"/>
      <c r="B31" s="1071" t="s">
        <v>190</v>
      </c>
      <c r="C31" s="1232">
        <f>SUM(C22:C30)</f>
        <v>85000</v>
      </c>
      <c r="D31" s="1072" t="s">
        <v>189</v>
      </c>
      <c r="E31" s="1073">
        <f>SUM(E22:E30)</f>
        <v>47607.318840579712</v>
      </c>
      <c r="F31" s="1074" t="s">
        <v>177</v>
      </c>
      <c r="G31" s="1075">
        <f>SUM(G23:G30)</f>
        <v>0.99999999999999989</v>
      </c>
      <c r="H31" s="1075">
        <f t="shared" si="4"/>
        <v>1.8239393877682985E-2</v>
      </c>
      <c r="I31" s="1076">
        <f t="shared" si="5"/>
        <v>1.0618064955805325E-2</v>
      </c>
      <c r="J31" s="1075">
        <f t="shared" si="6"/>
        <v>1.8749484551013513E-3</v>
      </c>
      <c r="K31" s="1150">
        <f>'Brewery-Vehicle Fleet'!H17</f>
        <v>0.22538571910059824</v>
      </c>
    </row>
    <row r="32" spans="1:12" s="15" customFormat="1" ht="13.5" thickBot="1" x14ac:dyDescent="0.35">
      <c r="A32" s="354"/>
      <c r="B32" s="1034"/>
      <c r="C32" s="1035"/>
      <c r="D32" s="1036"/>
      <c r="E32" s="1231"/>
      <c r="F32" s="1037"/>
      <c r="G32" s="1030"/>
      <c r="H32" s="1030"/>
      <c r="I32" s="1030"/>
      <c r="J32" s="1030"/>
      <c r="K32" s="1024"/>
    </row>
    <row r="33" spans="1:12" s="12" customFormat="1" ht="14.5" x14ac:dyDescent="0.35">
      <c r="A33" s="457"/>
      <c r="C33" s="1791" t="s">
        <v>137</v>
      </c>
      <c r="D33" s="1791"/>
      <c r="E33" s="126">
        <f>SUM(E9,E12,E31,E21)</f>
        <v>2610137.1109064198</v>
      </c>
      <c r="F33" s="67" t="s">
        <v>177</v>
      </c>
      <c r="G33" s="1691"/>
      <c r="H33" s="1804">
        <f>SUM(H9,H12,H21,H31)</f>
        <v>1</v>
      </c>
      <c r="I33" s="1779">
        <f>E33/($E$33+$E$52)</f>
        <v>0.58215009923093863</v>
      </c>
      <c r="J33" s="1802">
        <f>E33/E164</f>
        <v>0.10279664267766406</v>
      </c>
      <c r="K33" s="1508">
        <f>SUM(K9,K12,K31,K21)</f>
        <v>12.357083827021874</v>
      </c>
    </row>
    <row r="34" spans="1:12" s="47" customFormat="1" x14ac:dyDescent="0.3">
      <c r="A34" s="51"/>
      <c r="C34" s="1792"/>
      <c r="D34" s="1792"/>
      <c r="E34" s="126">
        <f>E33/1000</f>
        <v>2610.1371109064198</v>
      </c>
      <c r="F34" s="67" t="s">
        <v>191</v>
      </c>
      <c r="G34" s="1692"/>
      <c r="H34" s="1805"/>
      <c r="I34" s="1780"/>
      <c r="J34" s="1803"/>
      <c r="K34" s="1509">
        <f>E33/'Brewery-Control Data'!H10</f>
        <v>12.357083827021876</v>
      </c>
    </row>
    <row r="35" spans="1:12" s="47" customFormat="1" ht="13.5" thickBot="1" x14ac:dyDescent="0.35">
      <c r="A35" s="51"/>
    </row>
    <row r="36" spans="1:12" s="47" customFormat="1" ht="18.5" thickBot="1" x14ac:dyDescent="0.35">
      <c r="A36" s="1767" t="s">
        <v>152</v>
      </c>
      <c r="B36" s="1768"/>
      <c r="C36" s="46"/>
      <c r="D36" s="129"/>
      <c r="E36" s="129"/>
      <c r="F36" s="129"/>
      <c r="G36" s="129"/>
      <c r="H36" s="129"/>
      <c r="I36" s="129"/>
      <c r="J36" s="711"/>
      <c r="K36" s="711"/>
    </row>
    <row r="37" spans="1:12" s="47" customFormat="1" ht="12.75" customHeight="1" x14ac:dyDescent="0.3">
      <c r="A37" s="1778"/>
      <c r="B37" s="1797" t="s">
        <v>167</v>
      </c>
      <c r="C37" s="1753" t="s">
        <v>168</v>
      </c>
      <c r="D37" s="1753" t="s">
        <v>169</v>
      </c>
      <c r="E37" s="1752" t="s">
        <v>170</v>
      </c>
      <c r="F37" s="1753"/>
      <c r="G37" s="1775" t="s">
        <v>171</v>
      </c>
      <c r="H37" s="1775" t="s">
        <v>192</v>
      </c>
      <c r="I37" s="1775" t="s">
        <v>173</v>
      </c>
      <c r="J37" s="1775" t="s">
        <v>174</v>
      </c>
      <c r="K37" s="1756" t="s">
        <v>193</v>
      </c>
      <c r="L37" s="54"/>
    </row>
    <row r="38" spans="1:12" s="12" customFormat="1" x14ac:dyDescent="0.3">
      <c r="A38" s="1778"/>
      <c r="B38" s="1798"/>
      <c r="C38" s="1755"/>
      <c r="D38" s="1755"/>
      <c r="E38" s="1754"/>
      <c r="F38" s="1755"/>
      <c r="G38" s="1776"/>
      <c r="H38" s="1776"/>
      <c r="I38" s="1776"/>
      <c r="J38" s="1776"/>
      <c r="K38" s="1757"/>
      <c r="L38" s="54"/>
    </row>
    <row r="39" spans="1:12" ht="13.5" customHeight="1" thickBot="1" x14ac:dyDescent="0.35">
      <c r="A39" s="1778"/>
      <c r="B39" s="1799"/>
      <c r="C39" s="1794"/>
      <c r="D39" s="1794"/>
      <c r="E39" s="1793"/>
      <c r="F39" s="1794"/>
      <c r="G39" s="1777"/>
      <c r="H39" s="1777"/>
      <c r="I39" s="1777"/>
      <c r="J39" s="1777"/>
      <c r="K39" s="1758"/>
      <c r="L39" s="12"/>
    </row>
    <row r="40" spans="1:12" x14ac:dyDescent="0.3">
      <c r="A40" s="354"/>
      <c r="B40" s="998" t="str">
        <f>("Purchased Electricity @"&amp;brew1_abb)</f>
        <v>Purchased Electricity @MAIN</v>
      </c>
      <c r="C40" s="999"/>
      <c r="D40" s="1000"/>
      <c r="E40" s="1001"/>
      <c r="F40" s="1002"/>
      <c r="G40" s="1002"/>
      <c r="H40" s="1002"/>
      <c r="I40" s="1002"/>
      <c r="J40" s="1002"/>
      <c r="K40" s="1003"/>
    </row>
    <row r="41" spans="1:12" s="12" customFormat="1" ht="12.75" customHeight="1" x14ac:dyDescent="0.3">
      <c r="A41" s="354"/>
      <c r="B41" s="1004" t="s">
        <v>194</v>
      </c>
      <c r="C41" s="1173">
        <f>'Brewery-Electricity'!D21</f>
        <v>2220000</v>
      </c>
      <c r="D41" s="70" t="s">
        <v>195</v>
      </c>
      <c r="E41" s="58">
        <f>'Brewery-Electricity'!C31</f>
        <v>1282496.5980223168</v>
      </c>
      <c r="F41" s="71" t="s">
        <v>177</v>
      </c>
      <c r="G41" s="127">
        <f>E41/$E$52</f>
        <v>0.68455377971882403</v>
      </c>
      <c r="H41" s="136">
        <f>E41/$E$52</f>
        <v>0.68455377971882403</v>
      </c>
      <c r="I41" s="136">
        <f>E41/SUM($E$33,$E$52)</f>
        <v>0.28604072892659649</v>
      </c>
      <c r="J41" s="1510">
        <f>E41/$E$164</f>
        <v>5.0509355991814997E-2</v>
      </c>
      <c r="K41" s="1005">
        <f>'Brewery-Electricity'!C35</f>
        <v>10.408594729752604</v>
      </c>
      <c r="L41" s="11"/>
    </row>
    <row r="42" spans="1:12" s="12" customFormat="1" x14ac:dyDescent="0.3">
      <c r="A42" s="354"/>
      <c r="B42" s="1004" t="s">
        <v>196</v>
      </c>
      <c r="C42" s="1173">
        <f>'Brewery-Electricity'!D21</f>
        <v>2220000</v>
      </c>
      <c r="D42" s="70" t="s">
        <v>195</v>
      </c>
      <c r="E42" s="58">
        <f>'Brewery-Electricity'!K31</f>
        <v>3468.0576975415042</v>
      </c>
      <c r="F42" s="71" t="s">
        <v>177</v>
      </c>
      <c r="G42" s="127">
        <f>E42/$E$52</f>
        <v>1.8511331794532275E-3</v>
      </c>
      <c r="H42" s="136">
        <f>E42/$E$52</f>
        <v>1.8511331794532275E-3</v>
      </c>
      <c r="I42" s="136">
        <f>E42/SUM($E$33,$E$52)</f>
        <v>7.7349581534484797E-4</v>
      </c>
      <c r="J42" s="1510">
        <f>E42/$E$164</f>
        <v>1.3658465926178617E-4</v>
      </c>
      <c r="K42" s="1005">
        <f>'Brewery-Electricity'!K35</f>
        <v>2.8146356979638798E-2</v>
      </c>
      <c r="L42" s="11"/>
    </row>
    <row r="43" spans="1:12" s="12" customFormat="1" x14ac:dyDescent="0.3">
      <c r="A43" s="354"/>
      <c r="B43" s="1004" t="s">
        <v>197</v>
      </c>
      <c r="C43" s="1174">
        <f>'Brewery-Electricity'!D21</f>
        <v>2220000</v>
      </c>
      <c r="D43" s="70" t="s">
        <v>195</v>
      </c>
      <c r="E43" s="58">
        <f>'Brewery-Electricity'!C44</f>
        <v>5401.4696543590662</v>
      </c>
      <c r="F43" s="71" t="s">
        <v>177</v>
      </c>
      <c r="G43" s="127">
        <f>E43/$E$52</f>
        <v>2.8831238021449213E-3</v>
      </c>
      <c r="H43" s="136">
        <f>E43/$E$52</f>
        <v>2.8831238021449213E-3</v>
      </c>
      <c r="I43" s="136">
        <f>E43/SUM($E$33,$E$52)</f>
        <v>1.2047129946311742E-3</v>
      </c>
      <c r="J43" s="1510">
        <f>E43/$E$164</f>
        <v>2.1272941703839166E-4</v>
      </c>
      <c r="K43" s="1005">
        <f>'Brewery-Electricity'!C48</f>
        <v>4.383770581846181E-2</v>
      </c>
      <c r="L43" s="11"/>
    </row>
    <row r="44" spans="1:12" s="12" customFormat="1" ht="13.5" thickBot="1" x14ac:dyDescent="0.35">
      <c r="A44" s="354"/>
      <c r="B44" s="1006" t="str">
        <f>("Total "&amp;brew1_abb&amp;" Electricity")</f>
        <v>Total MAIN Electricity</v>
      </c>
      <c r="C44" s="1176"/>
      <c r="D44" s="1077"/>
      <c r="E44" s="1078">
        <f>'Brewery-Electricity'!K41</f>
        <v>1291366.1253742175</v>
      </c>
      <c r="F44" s="1079" t="s">
        <v>177</v>
      </c>
      <c r="G44" s="1080"/>
      <c r="H44" s="1081"/>
      <c r="I44" s="1081"/>
      <c r="J44" s="1511"/>
      <c r="K44" s="1088">
        <f>SUM(K41:K43)</f>
        <v>10.480578792550704</v>
      </c>
      <c r="L44" s="11"/>
    </row>
    <row r="45" spans="1:12" s="12" customFormat="1" x14ac:dyDescent="0.3">
      <c r="A45" s="354"/>
      <c r="B45" s="998" t="str">
        <f>("Purchased Electricity @"&amp;brew2_abb)</f>
        <v>Purchased Electricity @2ND</v>
      </c>
      <c r="C45" s="1173"/>
      <c r="D45" s="70"/>
      <c r="E45" s="58"/>
      <c r="F45" s="71"/>
      <c r="G45" s="127"/>
      <c r="H45" s="136"/>
      <c r="I45" s="136"/>
      <c r="J45" s="1510"/>
      <c r="K45" s="1005"/>
      <c r="L45" s="11"/>
    </row>
    <row r="46" spans="1:12" s="12" customFormat="1" x14ac:dyDescent="0.3">
      <c r="A46" s="354"/>
      <c r="B46" s="1004" t="s">
        <v>194</v>
      </c>
      <c r="C46" s="1173">
        <f>'Brewery-Electricity'!D65</f>
        <v>1716000</v>
      </c>
      <c r="D46" s="70" t="s">
        <v>195</v>
      </c>
      <c r="E46" s="58">
        <f>'Brewery-Electricity'!C75</f>
        <v>578564.27469835791</v>
      </c>
      <c r="F46" s="71" t="s">
        <v>177</v>
      </c>
      <c r="G46" s="127">
        <f>E46/$E$52</f>
        <v>0.30881825469618057</v>
      </c>
      <c r="H46" s="136">
        <f>E46/$E$52</f>
        <v>0.30881825469618057</v>
      </c>
      <c r="I46" s="136">
        <f>E46/SUM($E$33,$E$52)</f>
        <v>0.12903967708047373</v>
      </c>
      <c r="J46" s="1510">
        <f>E46/$E$164</f>
        <v>2.2785954333094528E-2</v>
      </c>
      <c r="K46" s="1005">
        <f>'Brewery-Electricity'!C79</f>
        <v>6.5737854569195102</v>
      </c>
      <c r="L46" s="11"/>
    </row>
    <row r="47" spans="1:12" s="12" customFormat="1" x14ac:dyDescent="0.3">
      <c r="A47" s="354"/>
      <c r="B47" s="1004" t="s">
        <v>196</v>
      </c>
      <c r="C47" s="1173">
        <f>'Brewery-Electricity'!D65</f>
        <v>1716000</v>
      </c>
      <c r="D47" s="70" t="s">
        <v>195</v>
      </c>
      <c r="E47" s="58">
        <f>'Brewery-Electricity'!K75</f>
        <v>1460.2267985122019</v>
      </c>
      <c r="F47" s="71" t="s">
        <v>177</v>
      </c>
      <c r="G47" s="127">
        <f>E47/$E$52</f>
        <v>7.7942021500071955E-4</v>
      </c>
      <c r="H47" s="136">
        <f>E47/$E$52</f>
        <v>7.7942021500071955E-4</v>
      </c>
      <c r="I47" s="136">
        <f>E47/SUM($E$33,$E$52)</f>
        <v>3.2568065949545105E-4</v>
      </c>
      <c r="J47" s="1510">
        <f>E47/$E$164</f>
        <v>5.7509014299590132E-5</v>
      </c>
      <c r="K47" s="1005">
        <f>'Brewery-Electricity'!K79</f>
        <v>1.6591445603633799E-2</v>
      </c>
      <c r="L47" s="11"/>
    </row>
    <row r="48" spans="1:12" s="12" customFormat="1" x14ac:dyDescent="0.3">
      <c r="A48" s="354"/>
      <c r="B48" s="1004" t="s">
        <v>197</v>
      </c>
      <c r="C48" s="1173">
        <f>'Brewery-Electricity'!D65</f>
        <v>1716000</v>
      </c>
      <c r="D48" s="70" t="s">
        <v>195</v>
      </c>
      <c r="E48" s="58">
        <f>'Brewery-Electricity'!C88</f>
        <v>2087.5950285766121</v>
      </c>
      <c r="F48" s="71" t="s">
        <v>177</v>
      </c>
      <c r="G48" s="127">
        <f>E48/$E$52</f>
        <v>1.1142883883965508E-3</v>
      </c>
      <c r="H48" s="136">
        <f>E48/$E$52</f>
        <v>1.1142883883965508E-3</v>
      </c>
      <c r="I48" s="136">
        <f>E48/SUM($E$33,$E$52)</f>
        <v>4.6560529251961596E-4</v>
      </c>
      <c r="J48" s="1510">
        <f>E48/$E$164</f>
        <v>8.2217044963486509E-5</v>
      </c>
      <c r="K48" s="1005">
        <f>'Brewery-Electricity'!C92</f>
        <v>2.3719753256367718E-2</v>
      </c>
      <c r="L48" s="11"/>
    </row>
    <row r="49" spans="1:12" s="12" customFormat="1" x14ac:dyDescent="0.3">
      <c r="A49" s="354"/>
      <c r="B49" s="1006" t="str">
        <f>("Total "&amp;brew2_abb&amp;" Electricity")</f>
        <v>Total 2ND Electricity</v>
      </c>
      <c r="C49" s="1177"/>
      <c r="D49" s="1077"/>
      <c r="E49" s="1078">
        <f>'Brewery-Electricity'!K85</f>
        <v>582112.09652544663</v>
      </c>
      <c r="F49" s="1079" t="s">
        <v>177</v>
      </c>
      <c r="G49" s="1080"/>
      <c r="H49" s="1081"/>
      <c r="I49" s="1081"/>
      <c r="J49" s="1511"/>
      <c r="K49" s="1088">
        <f>SUM(K46:K48)</f>
        <v>6.6140966557795116</v>
      </c>
      <c r="L49" s="11"/>
    </row>
    <row r="50" spans="1:12" s="12" customFormat="1" x14ac:dyDescent="0.3">
      <c r="A50" s="354"/>
      <c r="B50" s="1082" t="s">
        <v>198</v>
      </c>
      <c r="C50" s="1084">
        <f>SUM(C41,C46)</f>
        <v>3936000</v>
      </c>
      <c r="D50" s="1083" t="s">
        <v>195</v>
      </c>
      <c r="E50" s="1084">
        <f>'Brewery-Electricity'!E97</f>
        <v>1873478.221899664</v>
      </c>
      <c r="F50" s="1085" t="s">
        <v>177</v>
      </c>
      <c r="G50" s="1086">
        <f>SUM(G41:G48)</f>
        <v>1</v>
      </c>
      <c r="H50" s="1086">
        <f>SUM(H41:H48)</f>
        <v>1</v>
      </c>
      <c r="I50" s="1086">
        <f>E50/SUM($E$33,$E$52)</f>
        <v>0.41784990076906131</v>
      </c>
      <c r="J50" s="1086">
        <f>E50/$E$164</f>
        <v>7.378435046047277E-2</v>
      </c>
      <c r="K50" s="1087">
        <f>'Brewery-Electricity'!E101</f>
        <v>8.8695445688960408</v>
      </c>
      <c r="L50" s="11"/>
    </row>
    <row r="51" spans="1:12" s="12" customFormat="1" ht="13.5" thickBot="1" x14ac:dyDescent="0.35">
      <c r="A51" s="354"/>
      <c r="B51" s="1007"/>
      <c r="C51" s="1178"/>
      <c r="D51" s="1008"/>
      <c r="E51" s="1009"/>
      <c r="F51" s="1010"/>
      <c r="G51" s="1011"/>
      <c r="H51" s="1012"/>
      <c r="I51" s="1013"/>
      <c r="J51" s="1012"/>
      <c r="K51" s="1014"/>
    </row>
    <row r="52" spans="1:12" s="12" customFormat="1" ht="15" customHeight="1" x14ac:dyDescent="0.3">
      <c r="A52" s="51"/>
      <c r="C52" s="1789" t="s">
        <v>140</v>
      </c>
      <c r="D52" s="1789"/>
      <c r="E52" s="124">
        <f>E50</f>
        <v>1873478.221899664</v>
      </c>
      <c r="F52" s="68" t="s">
        <v>177</v>
      </c>
      <c r="G52" s="1689"/>
      <c r="H52" s="55"/>
      <c r="I52" s="1781">
        <f>E52/($E$33+$E$52)</f>
        <v>0.41784990076906131</v>
      </c>
      <c r="J52" s="1783">
        <f>E52/E164</f>
        <v>7.378435046047277E-2</v>
      </c>
      <c r="K52" s="1773">
        <f>E52/'Brewery-Control Data'!$H$10</f>
        <v>8.8695445688960408</v>
      </c>
      <c r="L52" s="11"/>
    </row>
    <row r="53" spans="1:12" s="12" customFormat="1" x14ac:dyDescent="0.3">
      <c r="A53" s="51"/>
      <c r="C53" s="1790"/>
      <c r="D53" s="1790"/>
      <c r="E53" s="124">
        <f>E52/1000</f>
        <v>1873.478221899664</v>
      </c>
      <c r="F53" s="68" t="s">
        <v>191</v>
      </c>
      <c r="G53" s="1690"/>
      <c r="H53" s="55"/>
      <c r="I53" s="1782"/>
      <c r="J53" s="1784"/>
      <c r="K53" s="1774"/>
      <c r="L53" s="11"/>
    </row>
    <row r="54" spans="1:12" s="12" customFormat="1" ht="15" customHeight="1" x14ac:dyDescent="0.3">
      <c r="A54" s="51"/>
      <c r="H54" s="55"/>
      <c r="I54" s="946" t="s">
        <v>199</v>
      </c>
      <c r="J54" s="948"/>
      <c r="K54" s="52"/>
      <c r="L54" s="11"/>
    </row>
    <row r="55" spans="1:12" s="12" customFormat="1" x14ac:dyDescent="0.3">
      <c r="A55" s="51"/>
      <c r="H55" s="55"/>
      <c r="I55" s="946">
        <f>I33+I52</f>
        <v>1</v>
      </c>
      <c r="J55" s="948"/>
      <c r="K55" s="52"/>
    </row>
    <row r="56" spans="1:12" ht="13.5" thickBot="1" x14ac:dyDescent="0.35">
      <c r="A56" s="51"/>
      <c r="B56" s="8"/>
      <c r="C56" s="10"/>
      <c r="D56" s="7"/>
      <c r="E56" s="151"/>
      <c r="F56" s="104"/>
      <c r="G56" s="55"/>
      <c r="H56" s="55"/>
      <c r="I56" s="55"/>
      <c r="J56" s="55"/>
      <c r="K56" s="52"/>
      <c r="L56" s="12"/>
    </row>
    <row r="57" spans="1:12" ht="18.5" thickBot="1" x14ac:dyDescent="0.35">
      <c r="A57" s="1765" t="s">
        <v>154</v>
      </c>
      <c r="B57" s="1766"/>
      <c r="C57" s="958"/>
      <c r="D57" s="958"/>
      <c r="E57" s="151"/>
      <c r="F57" s="104"/>
      <c r="G57" s="55"/>
      <c r="H57" s="55"/>
      <c r="I57" s="55"/>
      <c r="J57" s="55"/>
      <c r="K57" s="52"/>
      <c r="L57" s="12"/>
    </row>
    <row r="58" spans="1:12" ht="12.75" customHeight="1" x14ac:dyDescent="0.3">
      <c r="A58" s="1778"/>
      <c r="B58" s="1749" t="s">
        <v>167</v>
      </c>
      <c r="C58" s="1762" t="s">
        <v>168</v>
      </c>
      <c r="D58" s="1762" t="s">
        <v>169</v>
      </c>
      <c r="E58" s="1762" t="s">
        <v>170</v>
      </c>
      <c r="F58" s="1762"/>
      <c r="G58" s="1762" t="s">
        <v>171</v>
      </c>
      <c r="H58" s="1762" t="s">
        <v>200</v>
      </c>
      <c r="I58" s="1762"/>
      <c r="J58" s="1762" t="s">
        <v>174</v>
      </c>
      <c r="K58" s="1759" t="s">
        <v>193</v>
      </c>
    </row>
    <row r="59" spans="1:12" x14ac:dyDescent="0.3">
      <c r="A59" s="1778"/>
      <c r="B59" s="1750"/>
      <c r="C59" s="1763"/>
      <c r="D59" s="1763"/>
      <c r="E59" s="1763"/>
      <c r="F59" s="1763"/>
      <c r="G59" s="1763"/>
      <c r="H59" s="1763"/>
      <c r="I59" s="1763"/>
      <c r="J59" s="1763"/>
      <c r="K59" s="1760"/>
    </row>
    <row r="60" spans="1:12" s="12" customFormat="1" ht="13.5" thickBot="1" x14ac:dyDescent="0.35">
      <c r="A60" s="1778"/>
      <c r="B60" s="1751"/>
      <c r="C60" s="1764"/>
      <c r="D60" s="1764"/>
      <c r="E60" s="1764"/>
      <c r="F60" s="1764"/>
      <c r="G60" s="1764"/>
      <c r="H60" s="1764"/>
      <c r="I60" s="1764"/>
      <c r="J60" s="1764"/>
      <c r="K60" s="1761"/>
      <c r="L60" s="11"/>
    </row>
    <row r="61" spans="1:12" s="30" customFormat="1" x14ac:dyDescent="0.3">
      <c r="A61" s="354"/>
      <c r="B61" s="974" t="str">
        <f>("Manufacturing waste @"&amp;brew1_abb)</f>
        <v>Manufacturing waste @MAIN</v>
      </c>
      <c r="C61" s="975"/>
      <c r="D61" s="976"/>
      <c r="E61" s="977"/>
      <c r="F61" s="978"/>
      <c r="G61" s="978"/>
      <c r="H61" s="978"/>
      <c r="I61" s="978"/>
      <c r="J61" s="978"/>
      <c r="K61" s="971"/>
      <c r="L61" s="12"/>
    </row>
    <row r="62" spans="1:12" s="30" customFormat="1" ht="15" customHeight="1" x14ac:dyDescent="0.3">
      <c r="A62" s="354"/>
      <c r="B62" s="972" t="s">
        <v>201</v>
      </c>
      <c r="C62" s="950">
        <f>'Brewery-Manu Waste'!D22</f>
        <v>100000</v>
      </c>
      <c r="D62" s="907" t="s">
        <v>183</v>
      </c>
      <c r="E62" s="60">
        <f>'Brewery-Manu Waste'!N87</f>
        <v>20530.249723200006</v>
      </c>
      <c r="F62" s="62" t="s">
        <v>177</v>
      </c>
      <c r="G62" s="138">
        <f>E62/$E$71</f>
        <v>0.46352498195727315</v>
      </c>
      <c r="H62" s="138">
        <f>E62/$E$159</f>
        <v>9.8194904906043603E-4</v>
      </c>
      <c r="I62" s="62"/>
      <c r="J62" s="138">
        <f>E62/$E$164</f>
        <v>8.0855551076629523E-4</v>
      </c>
      <c r="K62" s="973">
        <f>'Brewery-Manu Waste'!N89</f>
        <v>0.16662114301038169</v>
      </c>
    </row>
    <row r="63" spans="1:12" s="30" customFormat="1" x14ac:dyDescent="0.3">
      <c r="A63" s="354"/>
      <c r="B63" s="972" t="s">
        <v>202</v>
      </c>
      <c r="C63" s="950">
        <f>'Brewery-Manu Waste'!F22</f>
        <v>25200</v>
      </c>
      <c r="D63" s="907" t="s">
        <v>183</v>
      </c>
      <c r="E63" s="60">
        <f>'Brewery-Manu Waste'!N50</f>
        <v>764.70252390000007</v>
      </c>
      <c r="F63" s="62" t="s">
        <v>177</v>
      </c>
      <c r="G63" s="138">
        <f>E63/$E$71</f>
        <v>1.7265192989487907E-2</v>
      </c>
      <c r="H63" s="138">
        <f>E63/$E$159</f>
        <v>3.657524512764083E-5</v>
      </c>
      <c r="I63" s="62"/>
      <c r="J63" s="138">
        <f>E63/$E$164</f>
        <v>3.011675201873121E-5</v>
      </c>
      <c r="K63" s="973">
        <f>'Brewery-Manu Waste'!N52</f>
        <v>6.206237640215208E-3</v>
      </c>
    </row>
    <row r="64" spans="1:12" s="47" customFormat="1" x14ac:dyDescent="0.3">
      <c r="A64" s="354"/>
      <c r="B64" s="972" t="s">
        <v>203</v>
      </c>
      <c r="C64" s="950">
        <f>'Brewery-Manu Waste'!I19</f>
        <v>20000</v>
      </c>
      <c r="D64" s="907" t="s">
        <v>183</v>
      </c>
      <c r="E64" s="60">
        <f>'Brewery-Manu Waste'!C113</f>
        <v>850.83333333333337</v>
      </c>
      <c r="F64" s="62" t="s">
        <v>177</v>
      </c>
      <c r="G64" s="138">
        <f>E64/$E$71</f>
        <v>1.9209825053238972E-2</v>
      </c>
      <c r="H64" s="138">
        <f>E64/$E$159</f>
        <v>4.0694828062976139E-5</v>
      </c>
      <c r="I64" s="62"/>
      <c r="J64" s="138">
        <f>E64/$E$164</f>
        <v>3.3508894908030091E-5</v>
      </c>
      <c r="K64" s="973">
        <f>'Brewery-Manu Waste'!C115</f>
        <v>6.9052653729355712E-3</v>
      </c>
      <c r="L64" s="30"/>
    </row>
    <row r="65" spans="1:12" s="47" customFormat="1" ht="13.5" thickBot="1" x14ac:dyDescent="0.35">
      <c r="A65" s="354"/>
      <c r="B65" s="1127" t="str">
        <f>("Total "&amp;brew1_abb&amp;" Manufacturing Waste")</f>
        <v>Total MAIN Manufacturing Waste</v>
      </c>
      <c r="C65" s="1096">
        <f>'Brewery-Manu Waste'!I22</f>
        <v>170200</v>
      </c>
      <c r="D65" s="1100" t="s">
        <v>183</v>
      </c>
      <c r="E65" s="1097">
        <f>'Brewery-Manu Waste'!B125</f>
        <v>22145.785580433338</v>
      </c>
      <c r="F65" s="1098" t="s">
        <v>177</v>
      </c>
      <c r="G65" s="1101"/>
      <c r="H65" s="1099"/>
      <c r="I65" s="1102"/>
      <c r="J65" s="1099"/>
      <c r="K65" s="1128">
        <f>'Brewery-Manu Waste'!B127</f>
        <v>0.17973264602353245</v>
      </c>
      <c r="L65" s="30"/>
    </row>
    <row r="66" spans="1:12" s="30" customFormat="1" x14ac:dyDescent="0.3">
      <c r="A66" s="354"/>
      <c r="B66" s="974" t="str">
        <f>("Manufacturing waste @"&amp;brew2_abb)</f>
        <v>Manufacturing waste @2ND</v>
      </c>
      <c r="C66" s="951"/>
      <c r="D66" s="65"/>
      <c r="E66" s="59"/>
      <c r="F66" s="63"/>
      <c r="G66" s="63"/>
      <c r="H66" s="63"/>
      <c r="I66" s="63"/>
      <c r="J66" s="63"/>
      <c r="K66" s="973"/>
      <c r="L66" s="12"/>
    </row>
    <row r="67" spans="1:12" s="30" customFormat="1" ht="15" customHeight="1" x14ac:dyDescent="0.3">
      <c r="A67" s="354"/>
      <c r="B67" s="972" t="s">
        <v>201</v>
      </c>
      <c r="C67" s="950">
        <f>'Brewery-Manu Waste'!D146</f>
        <v>100000</v>
      </c>
      <c r="D67" s="907" t="s">
        <v>183</v>
      </c>
      <c r="E67" s="60">
        <f>'Brewery-Manu Waste'!N211</f>
        <v>20530.249723200006</v>
      </c>
      <c r="F67" s="62" t="s">
        <v>177</v>
      </c>
      <c r="G67" s="138">
        <f>E67/$E$71</f>
        <v>0.46352498195727315</v>
      </c>
      <c r="H67" s="138">
        <f>E67/$E$159</f>
        <v>9.8194904906043603E-4</v>
      </c>
      <c r="I67" s="62"/>
      <c r="J67" s="138">
        <f>E67/$E$164</f>
        <v>8.0855551076629523E-4</v>
      </c>
      <c r="K67" s="973">
        <f>'Brewery-Manu Waste'!N213</f>
        <v>0.23326960021453438</v>
      </c>
    </row>
    <row r="68" spans="1:12" s="30" customFormat="1" x14ac:dyDescent="0.3">
      <c r="A68" s="354"/>
      <c r="B68" s="972" t="s">
        <v>202</v>
      </c>
      <c r="C68" s="950">
        <f>'Brewery-Manu Waste'!F146</f>
        <v>25200</v>
      </c>
      <c r="D68" s="907" t="s">
        <v>183</v>
      </c>
      <c r="E68" s="60">
        <f>'Brewery-Manu Waste'!N174</f>
        <v>764.70252390000007</v>
      </c>
      <c r="F68" s="62" t="s">
        <v>177</v>
      </c>
      <c r="G68" s="138">
        <f>E68/$E$71</f>
        <v>1.7265192989487907E-2</v>
      </c>
      <c r="H68" s="138">
        <f>E68/$E$159</f>
        <v>3.657524512764083E-5</v>
      </c>
      <c r="I68" s="62"/>
      <c r="J68" s="138">
        <f>E68/$E$164</f>
        <v>3.011675201873121E-5</v>
      </c>
      <c r="K68" s="973">
        <f>'Brewery-Manu Waste'!N176</f>
        <v>6.206237640215208E-3</v>
      </c>
    </row>
    <row r="69" spans="1:12" s="47" customFormat="1" x14ac:dyDescent="0.3">
      <c r="A69" s="354"/>
      <c r="B69" s="972" t="s">
        <v>203</v>
      </c>
      <c r="C69" s="950">
        <f>'Brewery-Manu Waste'!I143</f>
        <v>20000</v>
      </c>
      <c r="D69" s="907" t="s">
        <v>183</v>
      </c>
      <c r="E69" s="60">
        <f>'Brewery-Manu Waste'!C237</f>
        <v>850.83333333333337</v>
      </c>
      <c r="F69" s="62" t="s">
        <v>177</v>
      </c>
      <c r="G69" s="138">
        <f>E69/$E$71</f>
        <v>1.9209825053238972E-2</v>
      </c>
      <c r="H69" s="138">
        <f>E69/$E$159</f>
        <v>4.0694828062976139E-5</v>
      </c>
      <c r="I69" s="62"/>
      <c r="J69" s="138">
        <f>E69/$E$164</f>
        <v>3.3508894908030091E-5</v>
      </c>
      <c r="K69" s="973">
        <f>'Brewery-Manu Waste'!C239</f>
        <v>9.6673715221098008E-3</v>
      </c>
      <c r="L69" s="30"/>
    </row>
    <row r="70" spans="1:12" s="47" customFormat="1" x14ac:dyDescent="0.3">
      <c r="A70" s="354"/>
      <c r="B70" s="1127" t="str">
        <f>("Total "&amp;brew2_abb&amp;" Manufacturing Waste")</f>
        <v>Total 2ND Manufacturing Waste</v>
      </c>
      <c r="C70" s="1096">
        <f>'Brewery-Manu Waste'!I146</f>
        <v>170200</v>
      </c>
      <c r="D70" s="1100" t="s">
        <v>183</v>
      </c>
      <c r="E70" s="1097">
        <f>'Brewery-Manu Waste'!B249</f>
        <v>22145.785580433338</v>
      </c>
      <c r="F70" s="1098" t="s">
        <v>177</v>
      </c>
      <c r="G70" s="1101"/>
      <c r="H70" s="1099"/>
      <c r="I70" s="1102"/>
      <c r="J70" s="1099"/>
      <c r="K70" s="1128">
        <f>'Brewery-Manu Waste'!B251</f>
        <v>0.25162570443294546</v>
      </c>
      <c r="L70" s="30"/>
    </row>
    <row r="71" spans="1:12" s="47" customFormat="1" ht="13.5" thickBot="1" x14ac:dyDescent="0.35">
      <c r="A71" s="354"/>
      <c r="B71" s="1089" t="s">
        <v>204</v>
      </c>
      <c r="C71" s="1090">
        <f>SUM(C65,C70)</f>
        <v>340400</v>
      </c>
      <c r="D71" s="1091" t="str">
        <f>D67</f>
        <v>lbs</v>
      </c>
      <c r="E71" s="1092">
        <f>'Brewery-Manu Waste'!B257</f>
        <v>44291.571160866675</v>
      </c>
      <c r="F71" s="1093" t="s">
        <v>177</v>
      </c>
      <c r="G71" s="1094">
        <f>SUM(G62:G69)</f>
        <v>1</v>
      </c>
      <c r="H71" s="1094">
        <f>E71/$E$159</f>
        <v>2.1184382445021059E-3</v>
      </c>
      <c r="I71" s="1094"/>
      <c r="J71" s="1094">
        <f>E71/$E$164</f>
        <v>1.744362315386113E-3</v>
      </c>
      <c r="K71" s="1095">
        <f>'Brewery-Manu Waste'!B259</f>
        <v>0.20968808702745453</v>
      </c>
    </row>
    <row r="72" spans="1:12" s="30" customFormat="1" x14ac:dyDescent="0.3">
      <c r="A72" s="354"/>
      <c r="B72" s="974" t="s">
        <v>205</v>
      </c>
      <c r="C72" s="978"/>
      <c r="D72" s="976"/>
      <c r="E72" s="977"/>
      <c r="F72" s="978"/>
      <c r="G72" s="979"/>
      <c r="H72" s="979"/>
      <c r="I72" s="979"/>
      <c r="J72" s="979"/>
      <c r="K72" s="971"/>
    </row>
    <row r="73" spans="1:12" s="53" customFormat="1" ht="15" customHeight="1" thickBot="1" x14ac:dyDescent="0.35">
      <c r="A73" s="354"/>
      <c r="B73" s="1105" t="s">
        <v>206</v>
      </c>
      <c r="C73" s="1124">
        <f>'Brewery-Air Travel'!C24</f>
        <v>120000</v>
      </c>
      <c r="D73" s="1107" t="s">
        <v>207</v>
      </c>
      <c r="E73" s="1108">
        <f>'Brewery-Air Travel'!D26</f>
        <v>19170</v>
      </c>
      <c r="F73" s="1109" t="s">
        <v>177</v>
      </c>
      <c r="G73" s="1110">
        <f>E73/E73</f>
        <v>1</v>
      </c>
      <c r="H73" s="1110">
        <f t="shared" ref="H73:H79" si="7">E73/$E$159</f>
        <v>9.1688915255700603E-4</v>
      </c>
      <c r="I73" s="1111"/>
      <c r="J73" s="1110">
        <f t="shared" ref="J73:J79" si="8">E73/$E$164</f>
        <v>7.5498395540090518E-4</v>
      </c>
      <c r="K73" s="1112">
        <f>'Brewery-Air Travel'!D28</f>
        <v>9.0755882506780045E-2</v>
      </c>
    </row>
    <row r="74" spans="1:12" s="47" customFormat="1" x14ac:dyDescent="0.3">
      <c r="A74" s="354"/>
      <c r="B74" s="974" t="str">
        <f>("Distribution @"&amp;brew1_abb)</f>
        <v>Distribution @MAIN</v>
      </c>
      <c r="C74" s="1247">
        <f>'Downstream-Distribution'!B27</f>
        <v>16227.32760325</v>
      </c>
      <c r="D74" s="982" t="s">
        <v>208</v>
      </c>
      <c r="E74" s="1248">
        <f>'Downstream-Distribution'!B46</f>
        <v>1966752.1055139001</v>
      </c>
      <c r="F74" s="969" t="s">
        <v>177</v>
      </c>
      <c r="G74" s="984">
        <f>E74/$E$76</f>
        <v>0.71569607611814745</v>
      </c>
      <c r="H74" s="984">
        <f t="shared" si="7"/>
        <v>9.4068527455104176E-2</v>
      </c>
      <c r="I74" s="1249"/>
      <c r="J74" s="984">
        <f t="shared" si="8"/>
        <v>7.7457813454039792E-2</v>
      </c>
      <c r="K74" s="971">
        <f>'Downstream-Distribution'!B48</f>
        <v>15.961933647036153</v>
      </c>
    </row>
    <row r="75" spans="1:12" s="30" customFormat="1" x14ac:dyDescent="0.3">
      <c r="A75" s="354"/>
      <c r="B75" s="981" t="str">
        <f>("Distribution @"&amp;brew2_abb)</f>
        <v>Distribution @2ND</v>
      </c>
      <c r="C75" s="954">
        <f>'Downstream-Distribution'!E27</f>
        <v>7735.3945044550001</v>
      </c>
      <c r="D75" s="961" t="s">
        <v>208</v>
      </c>
      <c r="E75" s="60">
        <f>'Downstream-Distribution'!E46</f>
        <v>781274.84494995512</v>
      </c>
      <c r="F75" s="62" t="s">
        <v>177</v>
      </c>
      <c r="G75" s="139">
        <f>E75/$E$76</f>
        <v>0.28430392388185249</v>
      </c>
      <c r="H75" s="140">
        <f t="shared" si="7"/>
        <v>3.7367888914985423E-2</v>
      </c>
      <c r="I75" s="61"/>
      <c r="J75" s="137">
        <f t="shared" si="8"/>
        <v>3.0769429978901724E-2</v>
      </c>
      <c r="K75" s="973">
        <f>'Downstream-Distribution'!E48</f>
        <v>8.8770313657315718</v>
      </c>
    </row>
    <row r="76" spans="1:12" s="47" customFormat="1" ht="13.5" thickBot="1" x14ac:dyDescent="0.35">
      <c r="A76" s="354"/>
      <c r="B76" s="1105" t="s">
        <v>209</v>
      </c>
      <c r="C76" s="1106">
        <f>SUM(C75:C75)</f>
        <v>7735.3945044550001</v>
      </c>
      <c r="D76" s="1107" t="s">
        <v>208</v>
      </c>
      <c r="E76" s="1108">
        <f>'Downstream-Distribution'!B54</f>
        <v>2748026.9504638552</v>
      </c>
      <c r="F76" s="1109" t="s">
        <v>177</v>
      </c>
      <c r="G76" s="1094">
        <f>SUM(G74:G75)</f>
        <v>1</v>
      </c>
      <c r="H76" s="1094">
        <f t="shared" si="7"/>
        <v>0.1314364163700896</v>
      </c>
      <c r="I76" s="1110"/>
      <c r="J76" s="1111">
        <f t="shared" si="8"/>
        <v>0.10822724343294152</v>
      </c>
      <c r="K76" s="1112">
        <f>'Downstream-Distribution'!B56</f>
        <v>13.00989102982591</v>
      </c>
    </row>
    <row r="77" spans="1:12" s="30" customFormat="1" x14ac:dyDescent="0.3">
      <c r="A77" s="354"/>
      <c r="B77" s="1235" t="str">
        <f>("Water @"&amp;brew1_abb)</f>
        <v>Water @MAIN</v>
      </c>
      <c r="C77" s="968">
        <f>'Upstream-Water'!D21</f>
        <v>960000</v>
      </c>
      <c r="D77" s="982" t="s">
        <v>210</v>
      </c>
      <c r="E77" s="983">
        <f>'Upstream-Water'!F18</f>
        <v>831.88968520366495</v>
      </c>
      <c r="F77" s="969" t="s">
        <v>177</v>
      </c>
      <c r="G77" s="970">
        <f>E77/$E$79</f>
        <v>0.73272780882109689</v>
      </c>
      <c r="H77" s="984">
        <f t="shared" si="7"/>
        <v>3.9788765179306357E-5</v>
      </c>
      <c r="I77" s="985"/>
      <c r="J77" s="970">
        <f t="shared" si="8"/>
        <v>3.2762825508204324E-5</v>
      </c>
      <c r="K77" s="971">
        <f>'Upstream-Water'!F20</f>
        <v>6.7515209057854731E-3</v>
      </c>
    </row>
    <row r="78" spans="1:12" s="30" customFormat="1" x14ac:dyDescent="0.3">
      <c r="A78" s="354"/>
      <c r="B78" s="1236" t="str">
        <f>("Water @"&amp;brew2_abb)</f>
        <v>Water @2ND</v>
      </c>
      <c r="C78" s="964">
        <f>'Upstream-Water'!D39</f>
        <v>600000</v>
      </c>
      <c r="D78" s="961" t="s">
        <v>210</v>
      </c>
      <c r="E78" s="962">
        <f>'Upstream-Water'!F30</f>
        <v>303.44280141522268</v>
      </c>
      <c r="F78" s="62" t="s">
        <v>177</v>
      </c>
      <c r="G78" s="138">
        <f>E78/$E$79</f>
        <v>0.267272191178903</v>
      </c>
      <c r="H78" s="137">
        <f t="shared" si="7"/>
        <v>1.451348007507185E-5</v>
      </c>
      <c r="I78" s="616"/>
      <c r="J78" s="138">
        <f t="shared" si="8"/>
        <v>1.1950675349525102E-5</v>
      </c>
      <c r="K78" s="973">
        <f>'Upstream-Water'!F32</f>
        <v>3.4477895753074355E-3</v>
      </c>
    </row>
    <row r="79" spans="1:12" s="30" customFormat="1" ht="13.5" thickBot="1" x14ac:dyDescent="0.35">
      <c r="A79" s="354"/>
      <c r="B79" s="1105" t="s">
        <v>211</v>
      </c>
      <c r="C79" s="1106">
        <f>SUM(C77:C78)</f>
        <v>1560000</v>
      </c>
      <c r="D79" s="1113" t="s">
        <v>210</v>
      </c>
      <c r="E79" s="1114">
        <f>'Upstream-Water'!E45</f>
        <v>1135.3324866188877</v>
      </c>
      <c r="F79" s="1109" t="s">
        <v>177</v>
      </c>
      <c r="G79" s="1111">
        <f>E79/E79</f>
        <v>1</v>
      </c>
      <c r="H79" s="1111">
        <f t="shared" si="7"/>
        <v>5.430224525437821E-5</v>
      </c>
      <c r="I79" s="1111"/>
      <c r="J79" s="1111">
        <f t="shared" si="8"/>
        <v>4.4713500857729426E-5</v>
      </c>
      <c r="K79" s="1115">
        <f>'Upstream-Water'!E47</f>
        <v>5.3749661847529578E-3</v>
      </c>
    </row>
    <row r="80" spans="1:12" s="30" customFormat="1" x14ac:dyDescent="0.3">
      <c r="A80" s="354"/>
      <c r="B80" s="981" t="str">
        <f>("CO2 purchases @"&amp;brew1_abb)</f>
        <v>CO2 purchases @MAIN</v>
      </c>
      <c r="C80" s="951"/>
      <c r="D80" s="65"/>
      <c r="E80" s="59"/>
      <c r="F80" s="63"/>
      <c r="G80" s="85"/>
      <c r="H80" s="85"/>
      <c r="I80" s="85"/>
      <c r="J80" s="85"/>
      <c r="K80" s="973"/>
    </row>
    <row r="81" spans="1:11" s="30" customFormat="1" x14ac:dyDescent="0.3">
      <c r="A81" s="354"/>
      <c r="B81" s="972" t="s">
        <v>212</v>
      </c>
      <c r="C81" s="950">
        <f>'Upstream-CO2 Purchases'!C20</f>
        <v>500000</v>
      </c>
      <c r="D81" s="907" t="s">
        <v>185</v>
      </c>
      <c r="E81" s="60">
        <f>'Upstream-CO2 Purchases'!C23</f>
        <v>45457.709477414828</v>
      </c>
      <c r="F81" s="62" t="s">
        <v>177</v>
      </c>
      <c r="G81" s="137">
        <f>E81/$E$88</f>
        <v>0.66279844121951137</v>
      </c>
      <c r="H81" s="137">
        <f>E81/$E$159</f>
        <v>2.1742139134026846E-3</v>
      </c>
      <c r="I81" s="61"/>
      <c r="J81" s="137">
        <f>E81/$E$164</f>
        <v>1.7902890612792833E-3</v>
      </c>
      <c r="K81" s="973">
        <f>'Upstream-CO2 Purchases'!C25</f>
        <v>0.36892953636124315</v>
      </c>
    </row>
    <row r="82" spans="1:11" s="30" customFormat="1" x14ac:dyDescent="0.3">
      <c r="A82" s="354"/>
      <c r="B82" s="986" t="s">
        <v>213</v>
      </c>
      <c r="C82" s="964">
        <f>'Upstream-CO2 Purchases'!C20</f>
        <v>500000</v>
      </c>
      <c r="D82" s="909" t="s">
        <v>185</v>
      </c>
      <c r="E82" s="965">
        <f>'Upstream-CO2 Purchases'!C35</f>
        <v>972.38095238095252</v>
      </c>
      <c r="F82" s="966" t="s">
        <v>177</v>
      </c>
      <c r="G82" s="140">
        <f>E82/$E$88</f>
        <v>1.4177849850306434E-2</v>
      </c>
      <c r="H82" s="140">
        <f>E82/$E$159</f>
        <v>4.6508374929115596E-5</v>
      </c>
      <c r="I82" s="967"/>
      <c r="J82" s="140">
        <f>E82/$E$164</f>
        <v>3.8295879894891538E-5</v>
      </c>
      <c r="K82" s="987">
        <f>'Upstream-CO2 Purchases'!C37</f>
        <v>7.8917318547835104E-3</v>
      </c>
    </row>
    <row r="83" spans="1:11" s="30" customFormat="1" x14ac:dyDescent="0.3">
      <c r="A83" s="354"/>
      <c r="B83" s="1127" t="str">
        <f>("Total "&amp;brew1_abb&amp;" CO2 Purchases")</f>
        <v>Total MAIN CO2 Purchases</v>
      </c>
      <c r="C83" s="1096"/>
      <c r="D83" s="1103"/>
      <c r="E83" s="1098">
        <f>'Upstream-CO2 Purchases'!C39</f>
        <v>46430.090429795782</v>
      </c>
      <c r="F83" s="1116" t="s">
        <v>177</v>
      </c>
      <c r="G83" s="1104"/>
      <c r="H83" s="1104"/>
      <c r="I83" s="1117"/>
      <c r="J83" s="1104"/>
      <c r="K83" s="1129">
        <f>SUM(K81:K82)</f>
        <v>0.37682126821602668</v>
      </c>
    </row>
    <row r="84" spans="1:11" s="30" customFormat="1" x14ac:dyDescent="0.3">
      <c r="A84" s="354"/>
      <c r="B84" s="981" t="str">
        <f>("CO2 purchases @"&amp;brew2_abb)</f>
        <v>CO2 purchases @2ND</v>
      </c>
      <c r="C84" s="951"/>
      <c r="D84" s="65"/>
      <c r="E84" s="59"/>
      <c r="F84" s="63"/>
      <c r="G84" s="85"/>
      <c r="H84" s="85"/>
      <c r="I84" s="85"/>
      <c r="J84" s="85"/>
      <c r="K84" s="973"/>
    </row>
    <row r="85" spans="1:11" s="30" customFormat="1" x14ac:dyDescent="0.3">
      <c r="A85" s="354"/>
      <c r="B85" s="972" t="s">
        <v>212</v>
      </c>
      <c r="C85" s="950">
        <f>'Upstream-CO2 Purchases'!C58</f>
        <v>300000</v>
      </c>
      <c r="D85" s="907" t="s">
        <v>185</v>
      </c>
      <c r="E85" s="60">
        <f>'Upstream-CO2 Purchases'!C61</f>
        <v>21546.686239025061</v>
      </c>
      <c r="F85" s="62" t="s">
        <v>177</v>
      </c>
      <c r="G85" s="137">
        <f>E85/$E$88</f>
        <v>0.31416255277374061</v>
      </c>
      <c r="H85" s="137">
        <f>E85/$E$159</f>
        <v>1.0305645741320495E-3</v>
      </c>
      <c r="I85" s="61"/>
      <c r="J85" s="137">
        <f>E85/$E$164</f>
        <v>8.4858645813883126E-4</v>
      </c>
      <c r="K85" s="973">
        <f>'Upstream-CO2 Purchases'!C63</f>
        <v>0.24481859464405795</v>
      </c>
    </row>
    <row r="86" spans="1:11" s="30" customFormat="1" x14ac:dyDescent="0.3">
      <c r="A86" s="354"/>
      <c r="B86" s="972" t="s">
        <v>213</v>
      </c>
      <c r="C86" s="950">
        <f>'Upstream-CO2 Purchases'!C58</f>
        <v>300000</v>
      </c>
      <c r="D86" s="907" t="s">
        <v>185</v>
      </c>
      <c r="E86" s="60">
        <f>'Upstream-CO2 Purchases'!C73</f>
        <v>607.7380952380953</v>
      </c>
      <c r="F86" s="62" t="s">
        <v>177</v>
      </c>
      <c r="G86" s="137">
        <f>E86/$E$88</f>
        <v>8.8611561564415214E-3</v>
      </c>
      <c r="H86" s="137">
        <f>E86/$E$159</f>
        <v>2.9067734330697244E-5</v>
      </c>
      <c r="I86" s="61"/>
      <c r="J86" s="137">
        <f>E86/$E$164</f>
        <v>2.393492493430721E-5</v>
      </c>
      <c r="K86" s="973">
        <f>'Upstream-CO2 Purchases'!C75</f>
        <v>6.905265372935572E-3</v>
      </c>
    </row>
    <row r="87" spans="1:11" s="30" customFormat="1" x14ac:dyDescent="0.3">
      <c r="A87" s="354"/>
      <c r="B87" s="1127" t="str">
        <f>("Total "&amp;brew2_abb&amp;" CO2 Purchases")</f>
        <v>Total 2ND CO2 Purchases</v>
      </c>
      <c r="C87" s="1096"/>
      <c r="D87" s="1103"/>
      <c r="E87" s="1098">
        <f>'Upstream-CO2 Purchases'!C77</f>
        <v>22154.424334263156</v>
      </c>
      <c r="F87" s="1116" t="s">
        <v>177</v>
      </c>
      <c r="G87" s="1104"/>
      <c r="H87" s="1104"/>
      <c r="I87" s="1117"/>
      <c r="J87" s="1104"/>
      <c r="K87" s="1129">
        <f>SUM(K85:K86)</f>
        <v>0.25172386001699354</v>
      </c>
    </row>
    <row r="88" spans="1:11" s="30" customFormat="1" ht="13.5" thickBot="1" x14ac:dyDescent="0.35">
      <c r="A88" s="354"/>
      <c r="B88" s="1118" t="s">
        <v>214</v>
      </c>
      <c r="C88" s="1119">
        <f>SUM(C81,C85)</f>
        <v>800000</v>
      </c>
      <c r="D88" s="1091" t="s">
        <v>183</v>
      </c>
      <c r="E88" s="1092">
        <f>'Upstream-CO2 Purchases'!E85</f>
        <v>68584.514764058942</v>
      </c>
      <c r="F88" s="1093" t="s">
        <v>177</v>
      </c>
      <c r="G88" s="1094">
        <f>SUM(G81:G86)</f>
        <v>1</v>
      </c>
      <c r="H88" s="1094">
        <f>E88/$E$159</f>
        <v>3.280354596794547E-3</v>
      </c>
      <c r="I88" s="1094"/>
      <c r="J88" s="1094">
        <f>E88/$E$164</f>
        <v>2.7011063242473135E-3</v>
      </c>
      <c r="K88" s="1095">
        <f>'Upstream-CO2 Purchases'!E87</f>
        <v>0.32469734813309625</v>
      </c>
    </row>
    <row r="89" spans="1:11" s="30" customFormat="1" x14ac:dyDescent="0.3">
      <c r="A89" s="354"/>
      <c r="B89" s="974" t="str">
        <f>("Glass Purchases @"&amp;brew1_abb)</f>
        <v>Glass Purchases @MAIN</v>
      </c>
      <c r="C89" s="980"/>
      <c r="D89" s="976"/>
      <c r="E89" s="977"/>
      <c r="F89" s="978"/>
      <c r="G89" s="979"/>
      <c r="H89" s="979"/>
      <c r="I89" s="979"/>
      <c r="J89" s="979"/>
      <c r="K89" s="971"/>
    </row>
    <row r="90" spans="1:11" x14ac:dyDescent="0.3">
      <c r="A90" s="354"/>
      <c r="B90" s="972" t="s">
        <v>215</v>
      </c>
      <c r="C90" s="950">
        <f>'Upstream-Glass'!B9</f>
        <v>11573100</v>
      </c>
      <c r="D90" s="907" t="s">
        <v>216</v>
      </c>
      <c r="E90" s="60">
        <f>'Upstream-Glass'!B14</f>
        <v>2835409.5</v>
      </c>
      <c r="F90" s="62" t="s">
        <v>177</v>
      </c>
      <c r="G90" s="137">
        <f>E90/$E$101</f>
        <v>0.63309547858727411</v>
      </c>
      <c r="H90" s="137">
        <f>E90/$E$159</f>
        <v>0.13561586925441232</v>
      </c>
      <c r="I90" s="61"/>
      <c r="J90" s="137">
        <f>E90/$E$164</f>
        <v>0.11166868437617647</v>
      </c>
      <c r="K90" s="973">
        <f>'Upstream-Glass'!B16</f>
        <v>23.01185704812054</v>
      </c>
    </row>
    <row r="91" spans="1:11" x14ac:dyDescent="0.3">
      <c r="A91" s="354"/>
      <c r="B91" s="972" t="s">
        <v>217</v>
      </c>
      <c r="C91" s="950">
        <f>'Upstream-Glass'!B19</f>
        <v>0</v>
      </c>
      <c r="D91" s="907" t="s">
        <v>216</v>
      </c>
      <c r="E91" s="60">
        <f>'Upstream-Glass'!B24</f>
        <v>0</v>
      </c>
      <c r="F91" s="62" t="s">
        <v>177</v>
      </c>
      <c r="G91" s="137">
        <f t="shared" ref="G91:G93" si="9">E91/$E$101</f>
        <v>0</v>
      </c>
      <c r="H91" s="137">
        <f t="shared" ref="H91:H93" si="10">E91/$E$159</f>
        <v>0</v>
      </c>
      <c r="I91" s="61"/>
      <c r="J91" s="137">
        <f t="shared" ref="J91:J93" si="11">E91/$E$164</f>
        <v>0</v>
      </c>
      <c r="K91" s="973">
        <f>'Upstream-Glass'!B26</f>
        <v>0</v>
      </c>
    </row>
    <row r="92" spans="1:11" x14ac:dyDescent="0.3">
      <c r="A92" s="354"/>
      <c r="B92" s="972" t="s">
        <v>218</v>
      </c>
      <c r="C92" s="950">
        <f>'Upstream-Glass'!B30</f>
        <v>11573100</v>
      </c>
      <c r="D92" s="907" t="s">
        <v>219</v>
      </c>
      <c r="E92" s="60">
        <f>'Upstream-Glass'!B38</f>
        <v>4210.0493827160499</v>
      </c>
      <c r="F92" s="62" t="s">
        <v>177</v>
      </c>
      <c r="G92" s="137">
        <f t="shared" si="9"/>
        <v>9.4002761464496596E-4</v>
      </c>
      <c r="H92" s="137">
        <f t="shared" si="10"/>
        <v>2.0136403811902269E-4</v>
      </c>
      <c r="I92" s="61"/>
      <c r="J92" s="137">
        <f t="shared" si="11"/>
        <v>1.6580697628566001E-4</v>
      </c>
      <c r="K92" s="973">
        <f>'Upstream-Glass'!B40</f>
        <v>3.4168276067562682E-2</v>
      </c>
    </row>
    <row r="93" spans="1:11" x14ac:dyDescent="0.3">
      <c r="A93" s="354"/>
      <c r="B93" s="986" t="s">
        <v>220</v>
      </c>
      <c r="C93" s="964">
        <f>'Upstream-Glass'!B43</f>
        <v>0</v>
      </c>
      <c r="D93" s="909" t="s">
        <v>216</v>
      </c>
      <c r="E93" s="965">
        <f>('Upstream-Glass'!B51)</f>
        <v>0</v>
      </c>
      <c r="F93" s="966" t="s">
        <v>177</v>
      </c>
      <c r="G93" s="140">
        <f t="shared" si="9"/>
        <v>0</v>
      </c>
      <c r="H93" s="139">
        <f t="shared" si="10"/>
        <v>0</v>
      </c>
      <c r="I93" s="967"/>
      <c r="J93" s="139">
        <f t="shared" si="11"/>
        <v>0</v>
      </c>
      <c r="K93" s="987">
        <f>'Upstream-Glass'!B53</f>
        <v>0</v>
      </c>
    </row>
    <row r="94" spans="1:11" ht="13.5" thickBot="1" x14ac:dyDescent="0.35">
      <c r="A94" s="354"/>
      <c r="B94" s="1127" t="str">
        <f>("Total "&amp;brew1_abb&amp;" Glass")</f>
        <v>Total MAIN Glass</v>
      </c>
      <c r="C94" s="1096"/>
      <c r="D94" s="1103"/>
      <c r="E94" s="1098">
        <f>'Upstream-Glass'!B58</f>
        <v>2839619.549382716</v>
      </c>
      <c r="F94" s="1116" t="s">
        <v>177</v>
      </c>
      <c r="G94" s="1104"/>
      <c r="H94" s="1104"/>
      <c r="I94" s="1117"/>
      <c r="J94" s="1104"/>
      <c r="K94" s="1129">
        <f>SUM(K90:K93)</f>
        <v>23.046025324188101</v>
      </c>
    </row>
    <row r="95" spans="1:11" x14ac:dyDescent="0.3">
      <c r="A95" s="354"/>
      <c r="B95" s="974" t="str">
        <f>("Glass Purchases @"&amp;brew2_abb)</f>
        <v>Glass Purchases @2ND</v>
      </c>
      <c r="C95" s="951"/>
      <c r="D95" s="65"/>
      <c r="E95" s="59"/>
      <c r="F95" s="63"/>
      <c r="G95" s="85"/>
      <c r="H95" s="85"/>
      <c r="I95" s="85"/>
      <c r="J95" s="85"/>
      <c r="K95" s="973"/>
    </row>
    <row r="96" spans="1:11" x14ac:dyDescent="0.3">
      <c r="A96" s="354"/>
      <c r="B96" s="972" t="s">
        <v>215</v>
      </c>
      <c r="C96" s="950">
        <f>'Upstream-Glass'!B65</f>
        <v>6600000</v>
      </c>
      <c r="D96" s="907" t="s">
        <v>216</v>
      </c>
      <c r="E96" s="60">
        <f>'Upstream-Glass'!B70</f>
        <v>1617000</v>
      </c>
      <c r="F96" s="62" t="s">
        <v>177</v>
      </c>
      <c r="G96" s="137">
        <f>E96/$E$101</f>
        <v>0.36104675140420539</v>
      </c>
      <c r="H96" s="137">
        <f>E96/$E$159</f>
        <v>7.7340102226639479E-2</v>
      </c>
      <c r="I96" s="61"/>
      <c r="J96" s="137">
        <f>E96/$E$164</f>
        <v>6.3683310166054441E-2</v>
      </c>
      <c r="K96" s="973">
        <f>'Upstream-Glass'!B72</f>
        <v>18.372740158180076</v>
      </c>
    </row>
    <row r="97" spans="1:11" x14ac:dyDescent="0.3">
      <c r="A97" s="354"/>
      <c r="B97" s="972" t="s">
        <v>217</v>
      </c>
      <c r="C97" s="950">
        <f>'Upstream-Glass'!B75</f>
        <v>25000</v>
      </c>
      <c r="D97" s="907" t="s">
        <v>216</v>
      </c>
      <c r="E97" s="60">
        <f>'Upstream-Glass'!B80</f>
        <v>11539.461401139653</v>
      </c>
      <c r="F97" s="62" t="s">
        <v>177</v>
      </c>
      <c r="G97" s="137">
        <f t="shared" ref="G97:G99" si="12">E97/$E$101</f>
        <v>2.5765522893232478E-3</v>
      </c>
      <c r="H97" s="137">
        <f t="shared" ref="H97:H99" si="13">E97/$E$159</f>
        <v>5.5192524700340209E-4</v>
      </c>
      <c r="I97" s="61"/>
      <c r="J97" s="137">
        <f t="shared" ref="J97:J99" si="14">E97/$E$164</f>
        <v>4.5446573874952985E-4</v>
      </c>
      <c r="K97" s="973">
        <f>'Upstream-Glass'!B82</f>
        <v>0.13111411619572505</v>
      </c>
    </row>
    <row r="98" spans="1:11" x14ac:dyDescent="0.3">
      <c r="A98" s="354"/>
      <c r="B98" s="972" t="s">
        <v>218</v>
      </c>
      <c r="C98" s="950">
        <f>'Upstream-Glass'!B86</f>
        <v>6600000</v>
      </c>
      <c r="D98" s="907" t="s">
        <v>219</v>
      </c>
      <c r="E98" s="60">
        <f>'Upstream-Glass'!B94</f>
        <v>10203.997648442093</v>
      </c>
      <c r="F98" s="62" t="s">
        <v>177</v>
      </c>
      <c r="G98" s="137">
        <f t="shared" si="12"/>
        <v>2.2783674720508154E-3</v>
      </c>
      <c r="H98" s="137">
        <f t="shared" si="13"/>
        <v>4.8805084802158337E-4</v>
      </c>
      <c r="I98" s="61"/>
      <c r="J98" s="137">
        <f t="shared" si="14"/>
        <v>4.0187034457602226E-4</v>
      </c>
      <c r="K98" s="973">
        <f>'Upstream-Glass'!B96</f>
        <v>0.11594025811348614</v>
      </c>
    </row>
    <row r="99" spans="1:11" x14ac:dyDescent="0.3">
      <c r="A99" s="354"/>
      <c r="B99" s="972" t="s">
        <v>220</v>
      </c>
      <c r="C99" s="950">
        <f>'Upstream-Glass'!B99</f>
        <v>25000</v>
      </c>
      <c r="D99" s="907" t="s">
        <v>216</v>
      </c>
      <c r="E99" s="60">
        <f>'Upstream-Glass'!B107</f>
        <v>281.36022927689601</v>
      </c>
      <c r="F99" s="62" t="s">
        <v>177</v>
      </c>
      <c r="G99" s="137">
        <f t="shared" si="12"/>
        <v>6.2822632501401178E-5</v>
      </c>
      <c r="H99" s="138">
        <f t="shared" si="13"/>
        <v>1.3457284412359837E-5</v>
      </c>
      <c r="I99" s="61"/>
      <c r="J99" s="138">
        <f t="shared" si="14"/>
        <v>1.1080983765882969E-5</v>
      </c>
      <c r="K99" s="973">
        <f>'Upstream-Glass'!B109</f>
        <v>3.1968821170998024E-3</v>
      </c>
    </row>
    <row r="100" spans="1:11" x14ac:dyDescent="0.3">
      <c r="A100" s="354"/>
      <c r="B100" s="1127" t="str">
        <f>("Total "&amp;brew2_abb&amp;" Glass")</f>
        <v>Total 2ND Glass</v>
      </c>
      <c r="C100" s="1096"/>
      <c r="D100" s="1103"/>
      <c r="E100" s="1098">
        <f>'Upstream-Glass'!B113</f>
        <v>1639024.8192788586</v>
      </c>
      <c r="F100" s="1116" t="s">
        <v>177</v>
      </c>
      <c r="G100" s="1104"/>
      <c r="H100" s="1104"/>
      <c r="I100" s="1117"/>
      <c r="J100" s="1104"/>
      <c r="K100" s="1129">
        <f>SUM(K96:K99)</f>
        <v>18.622991414606386</v>
      </c>
    </row>
    <row r="101" spans="1:11" ht="13.5" thickBot="1" x14ac:dyDescent="0.35">
      <c r="A101" s="354"/>
      <c r="B101" s="1130" t="s">
        <v>221</v>
      </c>
      <c r="C101" s="1119">
        <f>SUM(C90,C91,C96,C97)</f>
        <v>18198100</v>
      </c>
      <c r="D101" s="1091" t="str">
        <f>D90</f>
        <v>bottles</v>
      </c>
      <c r="E101" s="1092">
        <f>'Upstream-Glass'!B121</f>
        <v>4478644.368661575</v>
      </c>
      <c r="F101" s="1093" t="s">
        <v>177</v>
      </c>
      <c r="G101" s="1121">
        <f>SUM(G90:G99)</f>
        <v>0.99999999999999989</v>
      </c>
      <c r="H101" s="1094">
        <f>E101/$E$159</f>
        <v>0.21421076889860818</v>
      </c>
      <c r="I101" s="1094"/>
      <c r="J101" s="1094">
        <f>E101/$E$164</f>
        <v>0.17638521858560802</v>
      </c>
      <c r="K101" s="1122">
        <f>'Upstream-Glass'!B123</f>
        <v>21.203094528529057</v>
      </c>
    </row>
    <row r="102" spans="1:11" x14ac:dyDescent="0.3">
      <c r="A102" s="354"/>
      <c r="B102" s="974" t="str">
        <f>("Aluminum Purchases @"&amp;brew1_abb)</f>
        <v>Aluminum Purchases @MAIN</v>
      </c>
      <c r="C102" s="988"/>
      <c r="D102" s="976"/>
      <c r="E102" s="977"/>
      <c r="F102" s="978"/>
      <c r="G102" s="989"/>
      <c r="H102" s="990"/>
      <c r="I102" s="990"/>
      <c r="J102" s="990"/>
      <c r="K102" s="991"/>
    </row>
    <row r="103" spans="1:11" x14ac:dyDescent="0.3">
      <c r="A103" s="354"/>
      <c r="B103" s="972" t="s">
        <v>222</v>
      </c>
      <c r="C103" s="953">
        <f>'Upstream-Aluminum'!B9</f>
        <v>19489600</v>
      </c>
      <c r="D103" s="907" t="s">
        <v>223</v>
      </c>
      <c r="E103" s="60">
        <f>'Upstream-Aluminum'!B15</f>
        <v>2209413.1675199997</v>
      </c>
      <c r="F103" s="62" t="s">
        <v>177</v>
      </c>
      <c r="G103" s="137">
        <f t="shared" ref="G103:G111" si="15">E103/$E$124</f>
        <v>0.53218292067591344</v>
      </c>
      <c r="H103" s="137">
        <f t="shared" ref="H103:H111" si="16">E103/$E$159</f>
        <v>0.10567485481563395</v>
      </c>
      <c r="I103" s="137"/>
      <c r="J103" s="137">
        <f>E103/$E$164</f>
        <v>8.7014684002560877E-2</v>
      </c>
      <c r="K103" s="973">
        <f>'Upstream-Aluminum'!B17</f>
        <v>17.931342887581295</v>
      </c>
    </row>
    <row r="104" spans="1:11" x14ac:dyDescent="0.3">
      <c r="A104" s="354"/>
      <c r="B104" s="972" t="s">
        <v>224</v>
      </c>
      <c r="C104" s="953">
        <f>'Upstream-Aluminum'!B20</f>
        <v>250000</v>
      </c>
      <c r="D104" s="907" t="s">
        <v>223</v>
      </c>
      <c r="E104" s="60">
        <f>'Upstream-Aluminum'!B26</f>
        <v>33139.049999999996</v>
      </c>
      <c r="F104" s="62" t="s">
        <v>177</v>
      </c>
      <c r="G104" s="137">
        <f t="shared" si="15"/>
        <v>7.9822265372035649E-3</v>
      </c>
      <c r="H104" s="137">
        <f t="shared" si="16"/>
        <v>1.5850201080356936E-3</v>
      </c>
      <c r="I104" s="137"/>
      <c r="J104" s="137">
        <f t="shared" ref="J104:J110" si="17">E104/$E$164</f>
        <v>1.3051356832148339E-3</v>
      </c>
      <c r="K104" s="973">
        <f>'Upstream-Aluminum'!B28</f>
        <v>0.26895271434708773</v>
      </c>
    </row>
    <row r="105" spans="1:11" x14ac:dyDescent="0.3">
      <c r="A105" s="354"/>
      <c r="B105" s="972" t="s">
        <v>225</v>
      </c>
      <c r="C105" s="953">
        <f>'Upstream-Aluminum'!B31</f>
        <v>100000</v>
      </c>
      <c r="D105" s="907" t="s">
        <v>223</v>
      </c>
      <c r="E105" s="60">
        <f>'Upstream-Aluminum'!B37</f>
        <v>14936.03</v>
      </c>
      <c r="F105" s="62" t="s">
        <v>177</v>
      </c>
      <c r="G105" s="137">
        <f t="shared" si="15"/>
        <v>3.5976521664461887E-3</v>
      </c>
      <c r="H105" s="137">
        <f t="shared" si="16"/>
        <v>7.1438100622149287E-4</v>
      </c>
      <c r="I105" s="137"/>
      <c r="J105" s="137">
        <f t="shared" si="17"/>
        <v>5.8823489866388016E-4</v>
      </c>
      <c r="K105" s="973">
        <f>'Upstream-Aluminum'!B39</f>
        <v>0.12121909982541847</v>
      </c>
    </row>
    <row r="106" spans="1:11" x14ac:dyDescent="0.3">
      <c r="A106" s="354"/>
      <c r="B106" s="972" t="s">
        <v>226</v>
      </c>
      <c r="C106" s="953">
        <f>'Upstream-Aluminum'!B42</f>
        <v>0</v>
      </c>
      <c r="D106" s="907" t="s">
        <v>223</v>
      </c>
      <c r="E106" s="60">
        <f>'Upstream-Aluminum'!B48</f>
        <v>0</v>
      </c>
      <c r="F106" s="62" t="s">
        <v>177</v>
      </c>
      <c r="G106" s="137">
        <f t="shared" si="15"/>
        <v>0</v>
      </c>
      <c r="H106" s="137">
        <f t="shared" si="16"/>
        <v>0</v>
      </c>
      <c r="I106" s="137"/>
      <c r="J106" s="137">
        <f t="shared" si="17"/>
        <v>0</v>
      </c>
      <c r="K106" s="973">
        <f>'Upstream-Aluminum'!B50</f>
        <v>0</v>
      </c>
    </row>
    <row r="107" spans="1:11" x14ac:dyDescent="0.3">
      <c r="A107" s="354"/>
      <c r="B107" s="972" t="s">
        <v>218</v>
      </c>
      <c r="C107" s="953">
        <f>'Upstream-Aluminum'!B58</f>
        <v>19489600</v>
      </c>
      <c r="D107" s="907" t="s">
        <v>223</v>
      </c>
      <c r="E107" s="60">
        <f>'Upstream-Aluminum'!B66</f>
        <v>6458.8304640232664</v>
      </c>
      <c r="F107" s="62" t="s">
        <v>177</v>
      </c>
      <c r="G107" s="137">
        <f t="shared" si="15"/>
        <v>1.5557430864561698E-3</v>
      </c>
      <c r="H107" s="137">
        <f t="shared" si="16"/>
        <v>3.0892183571557989E-4</v>
      </c>
      <c r="I107" s="137"/>
      <c r="J107" s="137">
        <f t="shared" si="17"/>
        <v>2.5437211116286645E-4</v>
      </c>
      <c r="K107" s="973">
        <f>'Upstream-Aluminum'!B68</f>
        <v>5.2419124410830062E-2</v>
      </c>
    </row>
    <row r="108" spans="1:11" x14ac:dyDescent="0.3">
      <c r="A108" s="354"/>
      <c r="B108" s="972" t="s">
        <v>227</v>
      </c>
      <c r="C108" s="953">
        <f>'Upstream-Aluminum'!B71</f>
        <v>250000</v>
      </c>
      <c r="D108" s="907" t="s">
        <v>223</v>
      </c>
      <c r="E108" s="60">
        <f>'Upstream-Aluminum'!B79</f>
        <v>73.972951141974278</v>
      </c>
      <c r="F108" s="62" t="s">
        <v>177</v>
      </c>
      <c r="G108" s="137">
        <f t="shared" si="15"/>
        <v>1.7817917340440655E-5</v>
      </c>
      <c r="H108" s="137">
        <f t="shared" si="16"/>
        <v>3.5380801504802091E-6</v>
      </c>
      <c r="I108" s="137"/>
      <c r="J108" s="137">
        <f t="shared" si="17"/>
        <v>2.9133224437060849E-6</v>
      </c>
      <c r="K108" s="973">
        <f>'Upstream-Aluminum'!B81</f>
        <v>6.0035595461844832E-4</v>
      </c>
    </row>
    <row r="109" spans="1:11" x14ac:dyDescent="0.3">
      <c r="A109" s="354"/>
      <c r="B109" s="972" t="s">
        <v>228</v>
      </c>
      <c r="C109" s="953">
        <f>'Upstream-Aluminum'!B84</f>
        <v>100000</v>
      </c>
      <c r="D109" s="907" t="s">
        <v>223</v>
      </c>
      <c r="E109" s="60">
        <f>'Upstream-Aluminum'!B92</f>
        <v>728.34905739790065</v>
      </c>
      <c r="F109" s="62" t="s">
        <v>177</v>
      </c>
      <c r="G109" s="137">
        <f t="shared" si="15"/>
        <v>1.7543795535203107E-4</v>
      </c>
      <c r="H109" s="137">
        <f t="shared" si="16"/>
        <v>3.4836481481651291E-5</v>
      </c>
      <c r="I109" s="137"/>
      <c r="J109" s="137">
        <f t="shared" si="17"/>
        <v>2.8685020984182993E-5</v>
      </c>
      <c r="K109" s="973">
        <f>'Upstream-Aluminum'!B94</f>
        <v>5.9111970916277991E-3</v>
      </c>
    </row>
    <row r="110" spans="1:11" x14ac:dyDescent="0.3">
      <c r="A110" s="354"/>
      <c r="B110" s="972" t="s">
        <v>229</v>
      </c>
      <c r="C110" s="953">
        <f>'Upstream-Aluminum'!B97</f>
        <v>0</v>
      </c>
      <c r="D110" s="907" t="s">
        <v>223</v>
      </c>
      <c r="E110" s="60">
        <f>'Upstream-Aluminum'!B105</f>
        <v>0</v>
      </c>
      <c r="F110" s="62" t="s">
        <v>177</v>
      </c>
      <c r="G110" s="137">
        <f t="shared" si="15"/>
        <v>0</v>
      </c>
      <c r="H110" s="137">
        <f t="shared" si="16"/>
        <v>0</v>
      </c>
      <c r="I110" s="137"/>
      <c r="J110" s="137">
        <f t="shared" si="17"/>
        <v>0</v>
      </c>
      <c r="K110" s="973">
        <f>'Upstream-Aluminum'!B107</f>
        <v>0</v>
      </c>
    </row>
    <row r="111" spans="1:11" x14ac:dyDescent="0.3">
      <c r="A111" s="354"/>
      <c r="B111" s="986" t="s">
        <v>230</v>
      </c>
      <c r="C111" s="1395">
        <f>'Upstream-Aluminum'!B110</f>
        <v>10</v>
      </c>
      <c r="D111" s="909" t="s">
        <v>231</v>
      </c>
      <c r="E111" s="965">
        <f>'Upstream-Aluminum'!B116</f>
        <v>486.1904761904762</v>
      </c>
      <c r="F111" s="62" t="s">
        <v>177</v>
      </c>
      <c r="G111" s="137">
        <f t="shared" si="15"/>
        <v>1.1710904570840918E-4</v>
      </c>
      <c r="H111" s="137">
        <f t="shared" si="16"/>
        <v>2.3254187464557794E-5</v>
      </c>
      <c r="I111" s="137"/>
      <c r="J111" s="137">
        <f t="shared" ref="J111" si="18">E111/$E$164</f>
        <v>1.9147939947445766E-5</v>
      </c>
      <c r="K111" s="987">
        <f>'Upstream-Aluminum'!B118</f>
        <v>3.9458659273917543E-3</v>
      </c>
    </row>
    <row r="112" spans="1:11" ht="15.75" customHeight="1" thickBot="1" x14ac:dyDescent="0.35">
      <c r="A112" s="354"/>
      <c r="B112" s="1127" t="str">
        <f>("Total "&amp;brew1_abb&amp;" Aluminum")</f>
        <v>Total MAIN Aluminum</v>
      </c>
      <c r="C112" s="1123"/>
      <c r="D112" s="1103"/>
      <c r="E112" s="1098">
        <f>'Upstream-Aluminum'!B122</f>
        <v>2265235.5904687527</v>
      </c>
      <c r="F112" s="1116" t="s">
        <v>177</v>
      </c>
      <c r="G112" s="1104"/>
      <c r="H112" s="1104"/>
      <c r="I112" s="1104"/>
      <c r="J112" s="1104"/>
      <c r="K112" s="1129">
        <f>SUM(K103:K111)</f>
        <v>18.384391245138264</v>
      </c>
    </row>
    <row r="113" spans="1:11" ht="15.75" customHeight="1" x14ac:dyDescent="0.3">
      <c r="A113" s="354"/>
      <c r="B113" s="974" t="str">
        <f>("Aluminum Purchases @"&amp;brew2_abb)</f>
        <v>Aluminum Purchases @2ND</v>
      </c>
      <c r="C113" s="952"/>
      <c r="D113" s="65"/>
      <c r="E113" s="59"/>
      <c r="F113" s="63"/>
      <c r="G113" s="621"/>
      <c r="H113" s="622"/>
      <c r="I113" s="622"/>
      <c r="J113" s="622"/>
      <c r="K113" s="1038"/>
    </row>
    <row r="114" spans="1:11" ht="12.75" customHeight="1" x14ac:dyDescent="0.3">
      <c r="A114" s="354"/>
      <c r="B114" s="972" t="s">
        <v>222</v>
      </c>
      <c r="C114" s="953">
        <f>'Upstream-Aluminum'!H9</f>
        <v>16333000</v>
      </c>
      <c r="D114" s="907" t="s">
        <v>223</v>
      </c>
      <c r="E114" s="60">
        <f>'Upstream-Aluminum'!H15</f>
        <v>1851569.3121</v>
      </c>
      <c r="F114" s="62" t="s">
        <v>177</v>
      </c>
      <c r="G114" s="137">
        <f t="shared" ref="G114:G122" si="19">E114/$E$124</f>
        <v>0.44598881677405872</v>
      </c>
      <c r="H114" s="137">
        <f t="shared" ref="H114:H122" si="20">E114/$E$159</f>
        <v>8.8559406232234086E-2</v>
      </c>
      <c r="I114" s="137"/>
      <c r="J114" s="137">
        <f>E114/$E$164</f>
        <v>7.2921498328022485E-2</v>
      </c>
      <c r="K114" s="973">
        <f>'Upstream-Aluminum'!H17</f>
        <v>15.027123357219507</v>
      </c>
    </row>
    <row r="115" spans="1:11" ht="12.75" customHeight="1" x14ac:dyDescent="0.3">
      <c r="A115" s="354"/>
      <c r="B115" s="972" t="s">
        <v>224</v>
      </c>
      <c r="C115" s="953">
        <f>'Upstream-Aluminum'!H20</f>
        <v>100000</v>
      </c>
      <c r="D115" s="907" t="s">
        <v>223</v>
      </c>
      <c r="E115" s="60">
        <f>'Upstream-Aluminum'!H26</f>
        <v>13255.619999999999</v>
      </c>
      <c r="F115" s="62" t="s">
        <v>177</v>
      </c>
      <c r="G115" s="137">
        <f t="shared" si="19"/>
        <v>3.192890614881426E-3</v>
      </c>
      <c r="H115" s="137">
        <f t="shared" si="20"/>
        <v>6.3400804321427746E-4</v>
      </c>
      <c r="I115" s="137"/>
      <c r="J115" s="137">
        <f t="shared" ref="J115:J122" si="21">E115/$E$164</f>
        <v>5.2205427328593358E-4</v>
      </c>
      <c r="K115" s="973">
        <f>'Upstream-Aluminum'!H28</f>
        <v>0.10758108573883511</v>
      </c>
    </row>
    <row r="116" spans="1:11" ht="12.75" customHeight="1" x14ac:dyDescent="0.3">
      <c r="A116" s="354"/>
      <c r="B116" s="972" t="s">
        <v>225</v>
      </c>
      <c r="C116" s="953">
        <f>'Upstream-Aluminum'!H31</f>
        <v>100000</v>
      </c>
      <c r="D116" s="907" t="s">
        <v>223</v>
      </c>
      <c r="E116" s="60">
        <f>'Upstream-Aluminum'!H37</f>
        <v>14936.03</v>
      </c>
      <c r="F116" s="62" t="s">
        <v>177</v>
      </c>
      <c r="G116" s="137">
        <f t="shared" si="19"/>
        <v>3.5976521664461887E-3</v>
      </c>
      <c r="H116" s="137">
        <f t="shared" si="20"/>
        <v>7.1438100622149287E-4</v>
      </c>
      <c r="I116" s="137"/>
      <c r="J116" s="137">
        <f t="shared" si="21"/>
        <v>5.8823489866388016E-4</v>
      </c>
      <c r="K116" s="973">
        <f>'Upstream-Aluminum'!H39</f>
        <v>0.12121909982541847</v>
      </c>
    </row>
    <row r="117" spans="1:11" ht="12.75" customHeight="1" x14ac:dyDescent="0.3">
      <c r="A117" s="354"/>
      <c r="B117" s="972" t="s">
        <v>226</v>
      </c>
      <c r="C117" s="953">
        <f>'Upstream-Aluminum'!H42</f>
        <v>0</v>
      </c>
      <c r="D117" s="907" t="s">
        <v>223</v>
      </c>
      <c r="E117" s="60">
        <f>'Upstream-Aluminum'!H48</f>
        <v>0</v>
      </c>
      <c r="F117" s="62" t="s">
        <v>177</v>
      </c>
      <c r="G117" s="137">
        <f t="shared" si="19"/>
        <v>0</v>
      </c>
      <c r="H117" s="137">
        <f t="shared" si="20"/>
        <v>0</v>
      </c>
      <c r="I117" s="137"/>
      <c r="J117" s="137">
        <f t="shared" si="21"/>
        <v>0</v>
      </c>
      <c r="K117" s="973">
        <f>'Upstream-Aluminum'!H50</f>
        <v>0</v>
      </c>
    </row>
    <row r="118" spans="1:11" ht="12.75" customHeight="1" x14ac:dyDescent="0.3">
      <c r="A118" s="354"/>
      <c r="B118" s="972" t="s">
        <v>218</v>
      </c>
      <c r="C118" s="953">
        <f>'Upstream-Aluminum'!H58</f>
        <v>16333000</v>
      </c>
      <c r="D118" s="907" t="s">
        <v>223</v>
      </c>
      <c r="E118" s="60">
        <f>'Upstream-Aluminum'!H66</f>
        <v>5412.7369452883586</v>
      </c>
      <c r="F118" s="62" t="s">
        <v>177</v>
      </c>
      <c r="G118" s="137">
        <f t="shared" si="19"/>
        <v>1.3037697967679489E-3</v>
      </c>
      <c r="H118" s="137">
        <f t="shared" si="20"/>
        <v>2.5888783467811375E-4</v>
      </c>
      <c r="I118" s="137"/>
      <c r="J118" s="137">
        <f t="shared" si="21"/>
        <v>2.1317316371927063E-4</v>
      </c>
      <c r="K118" s="973">
        <f>'Upstream-Aluminum'!H68</f>
        <v>4.3929149854388352E-2</v>
      </c>
    </row>
    <row r="119" spans="1:11" ht="12.75" customHeight="1" x14ac:dyDescent="0.3">
      <c r="A119" s="354"/>
      <c r="B119" s="972" t="s">
        <v>227</v>
      </c>
      <c r="C119" s="953">
        <f>'Upstream-Aluminum'!H71</f>
        <v>100000</v>
      </c>
      <c r="D119" s="907" t="s">
        <v>223</v>
      </c>
      <c r="E119" s="60">
        <f>'Upstream-Aluminum'!H79</f>
        <v>29.589180456789713</v>
      </c>
      <c r="F119" s="62" t="s">
        <v>177</v>
      </c>
      <c r="G119" s="137">
        <f t="shared" si="19"/>
        <v>7.1271669361762621E-6</v>
      </c>
      <c r="H119" s="137">
        <f t="shared" si="20"/>
        <v>1.4152320601920836E-6</v>
      </c>
      <c r="I119" s="137"/>
      <c r="J119" s="137">
        <f t="shared" si="21"/>
        <v>1.165328977482434E-6</v>
      </c>
      <c r="K119" s="973">
        <f>'Upstream-Aluminum'!H81</f>
        <v>2.4014238184737934E-4</v>
      </c>
    </row>
    <row r="120" spans="1:11" ht="12.75" customHeight="1" x14ac:dyDescent="0.3">
      <c r="A120" s="354"/>
      <c r="B120" s="972" t="s">
        <v>228</v>
      </c>
      <c r="C120" s="953">
        <f>'Upstream-Aluminum'!H84</f>
        <v>100000</v>
      </c>
      <c r="D120" s="907" t="s">
        <v>223</v>
      </c>
      <c r="E120" s="60">
        <f>'Upstream-Aluminum'!H92</f>
        <v>728.34905739790065</v>
      </c>
      <c r="F120" s="62" t="s">
        <v>177</v>
      </c>
      <c r="G120" s="137">
        <f t="shared" si="19"/>
        <v>1.7543795535203107E-4</v>
      </c>
      <c r="H120" s="137">
        <f t="shared" si="20"/>
        <v>3.4836481481651291E-5</v>
      </c>
      <c r="I120" s="137"/>
      <c r="J120" s="137">
        <f t="shared" si="21"/>
        <v>2.8685020984182993E-5</v>
      </c>
      <c r="K120" s="973">
        <f>'Upstream-Aluminum'!H94</f>
        <v>5.9111970916277991E-3</v>
      </c>
    </row>
    <row r="121" spans="1:11" ht="12.75" customHeight="1" x14ac:dyDescent="0.3">
      <c r="A121" s="354"/>
      <c r="B121" s="972" t="s">
        <v>229</v>
      </c>
      <c r="C121" s="953">
        <f>'Upstream-Aluminum'!H97</f>
        <v>0</v>
      </c>
      <c r="D121" s="907" t="s">
        <v>223</v>
      </c>
      <c r="E121" s="60">
        <f>'Upstream-Aluminum'!H105</f>
        <v>0</v>
      </c>
      <c r="F121" s="62" t="s">
        <v>177</v>
      </c>
      <c r="G121" s="137">
        <f t="shared" si="19"/>
        <v>0</v>
      </c>
      <c r="H121" s="137">
        <f t="shared" si="20"/>
        <v>0</v>
      </c>
      <c r="I121" s="137"/>
      <c r="J121" s="137">
        <f t="shared" si="21"/>
        <v>0</v>
      </c>
      <c r="K121" s="973">
        <f>'Upstream-Aluminum'!H107</f>
        <v>0</v>
      </c>
    </row>
    <row r="122" spans="1:11" ht="12.75" customHeight="1" x14ac:dyDescent="0.3">
      <c r="A122" s="354"/>
      <c r="B122" s="986" t="s">
        <v>230</v>
      </c>
      <c r="C122" s="1395">
        <f>'Upstream-Aluminum'!H110</f>
        <v>9</v>
      </c>
      <c r="D122" s="909" t="s">
        <v>231</v>
      </c>
      <c r="E122" s="965">
        <f>'Upstream-Aluminum'!H116</f>
        <v>437.57142857142856</v>
      </c>
      <c r="F122" s="62" t="s">
        <v>177</v>
      </c>
      <c r="G122" s="137">
        <f t="shared" si="19"/>
        <v>1.0539814113756826E-4</v>
      </c>
      <c r="H122" s="137">
        <f t="shared" si="20"/>
        <v>2.0928768718102015E-5</v>
      </c>
      <c r="I122" s="137"/>
      <c r="J122" s="137">
        <f t="shared" si="21"/>
        <v>1.7233145952701187E-5</v>
      </c>
      <c r="K122" s="987">
        <f>'Upstream-Aluminum'!H118</f>
        <v>3.5512793346525792E-3</v>
      </c>
    </row>
    <row r="123" spans="1:11" x14ac:dyDescent="0.3">
      <c r="A123" s="354"/>
      <c r="B123" s="1127" t="str">
        <f>("Total "&amp;brew2_abb&amp;" Aluminum")</f>
        <v>Total 2ND Aluminum</v>
      </c>
      <c r="C123" s="1123"/>
      <c r="D123" s="1103"/>
      <c r="E123" s="1098">
        <f>'Upstream-Aluminum'!H122</f>
        <v>1886369.2087117143</v>
      </c>
      <c r="F123" s="1116" t="s">
        <v>177</v>
      </c>
      <c r="G123" s="1104"/>
      <c r="H123" s="1104"/>
      <c r="I123" s="1104"/>
      <c r="J123" s="1104"/>
      <c r="K123" s="1129">
        <f>SUM(K114:K122)</f>
        <v>15.309555311446276</v>
      </c>
    </row>
    <row r="124" spans="1:11" ht="13.5" thickBot="1" x14ac:dyDescent="0.35">
      <c r="A124" s="354"/>
      <c r="B124" s="1105" t="s">
        <v>232</v>
      </c>
      <c r="C124" s="1119">
        <f>SUM(C103:C106)</f>
        <v>19839600</v>
      </c>
      <c r="D124" s="1091" t="str">
        <f>D103</f>
        <v>cans</v>
      </c>
      <c r="E124" s="1092">
        <f>'Upstream-Aluminum'!B131</f>
        <v>4151604.7991804667</v>
      </c>
      <c r="F124" s="1093" t="str">
        <f>F103</f>
        <v>kg CO2e</v>
      </c>
      <c r="G124" s="1121">
        <f>SUM(G103:G122)</f>
        <v>1.0000000000000002</v>
      </c>
      <c r="H124" s="1094">
        <f>E124/$E$159</f>
        <v>0.19856867011331128</v>
      </c>
      <c r="I124" s="1094"/>
      <c r="J124" s="1094">
        <f>E124/$E$164</f>
        <v>0.16350521713858371</v>
      </c>
      <c r="K124" s="1122">
        <f>'Upstream-Aluminum'!B133</f>
        <v>19.654802158007648</v>
      </c>
    </row>
    <row r="125" spans="1:11" x14ac:dyDescent="0.3">
      <c r="A125" s="354"/>
      <c r="B125" s="974" t="str">
        <f>("Malt @"&amp;brew1_abb)</f>
        <v>Malt @MAIN</v>
      </c>
      <c r="C125" s="980"/>
      <c r="D125" s="1041"/>
      <c r="E125" s="977"/>
      <c r="F125" s="978"/>
      <c r="G125" s="979"/>
      <c r="H125" s="979"/>
      <c r="I125" s="979"/>
      <c r="J125" s="979"/>
      <c r="K125" s="971"/>
    </row>
    <row r="126" spans="1:11" x14ac:dyDescent="0.3">
      <c r="A126" s="354"/>
      <c r="B126" s="972" t="s">
        <v>233</v>
      </c>
      <c r="C126" s="950">
        <f>'Upstream-Malt'!B8</f>
        <v>120000</v>
      </c>
      <c r="D126" s="961" t="s">
        <v>234</v>
      </c>
      <c r="E126" s="1040">
        <f>'Upstream-Malt'!B14</f>
        <v>931289.60000000009</v>
      </c>
      <c r="F126" s="62" t="s">
        <v>177</v>
      </c>
      <c r="G126" s="137">
        <f>E126/$E$133</f>
        <v>0.5398711854010122</v>
      </c>
      <c r="H126" s="137">
        <f>E126/$E$159</f>
        <v>4.4543001154363757E-2</v>
      </c>
      <c r="I126" s="61"/>
      <c r="J126" s="137">
        <f>E126/$E$164</f>
        <v>3.6677553773173027E-2</v>
      </c>
      <c r="K126" s="973"/>
    </row>
    <row r="127" spans="1:11" x14ac:dyDescent="0.3">
      <c r="A127" s="354"/>
      <c r="B127" s="986" t="s">
        <v>235</v>
      </c>
      <c r="C127" s="964">
        <f>C126</f>
        <v>120000</v>
      </c>
      <c r="D127" s="1042" t="s">
        <v>234</v>
      </c>
      <c r="E127" s="965">
        <f>'Upstream-Malt'!B21</f>
        <v>153520.00000000003</v>
      </c>
      <c r="F127" s="966" t="s">
        <v>177</v>
      </c>
      <c r="G127" s="140">
        <f>E127/$E$133</f>
        <v>8.8995973307082352E-2</v>
      </c>
      <c r="H127" s="140">
        <f>E127/$E$159</f>
        <v>7.3427659207382151E-3</v>
      </c>
      <c r="I127" s="967"/>
      <c r="J127" s="140">
        <f>E127/$E$164</f>
        <v>6.0461730220733954E-3</v>
      </c>
      <c r="K127" s="987"/>
    </row>
    <row r="128" spans="1:11" ht="13.5" thickBot="1" x14ac:dyDescent="0.35">
      <c r="A128" s="354"/>
      <c r="B128" s="1127" t="str">
        <f>("Total "&amp;brew1_abb&amp;" Malt")</f>
        <v>Total MAIN Malt</v>
      </c>
      <c r="C128" s="1096"/>
      <c r="D128" s="1100"/>
      <c r="E128" s="1098">
        <f>'Upstream-Malt'!B27</f>
        <v>1084809.6000000001</v>
      </c>
      <c r="F128" s="1116" t="s">
        <v>177</v>
      </c>
      <c r="G128" s="1104"/>
      <c r="H128" s="1104"/>
      <c r="I128" s="1117"/>
      <c r="J128" s="1104"/>
      <c r="K128" s="1129">
        <f>'Upstream-Malt'!B29</f>
        <v>7.5582391698981617</v>
      </c>
    </row>
    <row r="129" spans="1:12" x14ac:dyDescent="0.3">
      <c r="A129" s="354"/>
      <c r="B129" s="974" t="str">
        <f>("Malt @"&amp;brew2_abb)</f>
        <v>Malt @2ND</v>
      </c>
      <c r="C129" s="951"/>
      <c r="D129" s="960"/>
      <c r="E129" s="59"/>
      <c r="F129" s="63"/>
      <c r="G129" s="85"/>
      <c r="H129" s="85"/>
      <c r="I129" s="85"/>
      <c r="J129" s="85"/>
      <c r="K129" s="973"/>
    </row>
    <row r="130" spans="1:12" x14ac:dyDescent="0.3">
      <c r="A130" s="354"/>
      <c r="B130" s="972" t="s">
        <v>233</v>
      </c>
      <c r="C130" s="950">
        <f>'Upstream-Malt'!E8</f>
        <v>70000</v>
      </c>
      <c r="D130" s="961" t="s">
        <v>234</v>
      </c>
      <c r="E130" s="60">
        <f>'Upstream-Malt'!E14</f>
        <v>543252.26666666672</v>
      </c>
      <c r="F130" s="62" t="s">
        <v>177</v>
      </c>
      <c r="G130" s="137">
        <f>E130/$E$133</f>
        <v>0.3149248581505904</v>
      </c>
      <c r="H130" s="137">
        <f>E130/$E$159</f>
        <v>2.5983417340045525E-2</v>
      </c>
      <c r="I130" s="61"/>
      <c r="J130" s="137">
        <f>E130/$E$164</f>
        <v>2.1395239701017598E-2</v>
      </c>
      <c r="K130" s="973"/>
    </row>
    <row r="131" spans="1:12" x14ac:dyDescent="0.3">
      <c r="A131" s="354"/>
      <c r="B131" s="972" t="s">
        <v>235</v>
      </c>
      <c r="C131" s="950">
        <f>C130</f>
        <v>70000</v>
      </c>
      <c r="D131" s="961" t="s">
        <v>234</v>
      </c>
      <c r="E131" s="60">
        <f>'Upstream-Malt'!E21</f>
        <v>96960</v>
      </c>
      <c r="F131" s="62" t="s">
        <v>177</v>
      </c>
      <c r="G131" s="138">
        <f>E131/$E$133</f>
        <v>5.6207983141315157E-2</v>
      </c>
      <c r="H131" s="137">
        <f>E131/$E$159</f>
        <v>4.6375363709925564E-3</v>
      </c>
      <c r="I131" s="61"/>
      <c r="J131" s="137">
        <f>E131/$E$164</f>
        <v>3.8186355928884596E-3</v>
      </c>
      <c r="K131" s="973"/>
    </row>
    <row r="132" spans="1:12" x14ac:dyDescent="0.3">
      <c r="A132" s="354"/>
      <c r="B132" s="1127" t="str">
        <f>("Total "&amp;brew2_abb&amp;" Malt")</f>
        <v>Total 2ND Malt</v>
      </c>
      <c r="C132" s="1096"/>
      <c r="D132" s="1103"/>
      <c r="E132" s="1098">
        <f>'Upstream-Malt'!E27</f>
        <v>640212.26666666672</v>
      </c>
      <c r="F132" s="1116" t="s">
        <v>177</v>
      </c>
      <c r="G132" s="1101"/>
      <c r="H132" s="1104"/>
      <c r="I132" s="1117"/>
      <c r="J132" s="1104"/>
      <c r="K132" s="1129">
        <f>'Upstream-Malt'!E29</f>
        <v>6.1725619887501662</v>
      </c>
    </row>
    <row r="133" spans="1:12" s="30" customFormat="1" ht="13.5" thickBot="1" x14ac:dyDescent="0.35">
      <c r="A133" s="354"/>
      <c r="B133" s="1118" t="s">
        <v>236</v>
      </c>
      <c r="C133" s="1090">
        <f>C126+C130</f>
        <v>190000</v>
      </c>
      <c r="D133" s="1091" t="s">
        <v>237</v>
      </c>
      <c r="E133" s="1092">
        <f>'Upstream-Malt'!B35</f>
        <v>1725021.8666666667</v>
      </c>
      <c r="F133" s="1093" t="s">
        <v>177</v>
      </c>
      <c r="G133" s="1121">
        <f>SUM(G125:G131)</f>
        <v>1</v>
      </c>
      <c r="H133" s="1121">
        <f>E133/$E$159</f>
        <v>8.2506720786140048E-2</v>
      </c>
      <c r="I133" s="1094"/>
      <c r="J133" s="1121">
        <f>E133/$E$164</f>
        <v>6.7937602089152477E-2</v>
      </c>
      <c r="K133" s="1122">
        <f>'Upstream-Malt'!B37</f>
        <v>8.1667126683790503</v>
      </c>
    </row>
    <row r="134" spans="1:12" x14ac:dyDescent="0.3">
      <c r="A134" s="354"/>
      <c r="B134" s="974" t="str">
        <f>("Barley @"&amp;brew1_abb)</f>
        <v>Barley @MAIN</v>
      </c>
      <c r="C134" s="980"/>
      <c r="D134" s="1041"/>
      <c r="E134" s="977"/>
      <c r="F134" s="978"/>
      <c r="G134" s="979"/>
      <c r="H134" s="979"/>
      <c r="I134" s="979"/>
      <c r="J134" s="979"/>
      <c r="K134" s="971"/>
      <c r="L134" s="30"/>
    </row>
    <row r="135" spans="1:12" x14ac:dyDescent="0.3">
      <c r="A135" s="354"/>
      <c r="B135" s="972" t="s">
        <v>238</v>
      </c>
      <c r="C135" s="950">
        <f>'Upstream-Barley'!B16</f>
        <v>120000</v>
      </c>
      <c r="D135" s="961" t="s">
        <v>234</v>
      </c>
      <c r="E135" s="1040">
        <f>'Upstream-Barley'!B21</f>
        <v>2947033.6</v>
      </c>
      <c r="F135" s="62" t="s">
        <v>177</v>
      </c>
      <c r="G135" s="137">
        <f>E135/$E$142</f>
        <v>0.6279092976646472</v>
      </c>
      <c r="H135" s="137">
        <f>E135/$E$159</f>
        <v>0.14095478038920306</v>
      </c>
      <c r="I135" s="61"/>
      <c r="J135" s="137">
        <f>E135/$E$164</f>
        <v>0.1160648452805096</v>
      </c>
      <c r="K135" s="973"/>
    </row>
    <row r="136" spans="1:12" x14ac:dyDescent="0.3">
      <c r="A136" s="354"/>
      <c r="B136" s="986" t="s">
        <v>235</v>
      </c>
      <c r="C136" s="964">
        <f>C135</f>
        <v>120000</v>
      </c>
      <c r="D136" s="1042" t="s">
        <v>234</v>
      </c>
      <c r="E136" s="965">
        <f>'Upstream-Barley'!B28</f>
        <v>19190</v>
      </c>
      <c r="F136" s="966" t="s">
        <v>177</v>
      </c>
      <c r="G136" s="137">
        <f>E136/$E$142</f>
        <v>4.0887146390813393E-3</v>
      </c>
      <c r="H136" s="140">
        <f>E136/$E$159</f>
        <v>9.1784574009227677E-4</v>
      </c>
      <c r="I136" s="967"/>
      <c r="J136" s="140">
        <f>E136/$E$164</f>
        <v>7.5577162775917431E-4</v>
      </c>
      <c r="K136" s="987"/>
    </row>
    <row r="137" spans="1:12" ht="13.5" thickBot="1" x14ac:dyDescent="0.35">
      <c r="A137" s="354"/>
      <c r="B137" s="1127" t="str">
        <f>("Total "&amp;brew1_abb&amp;" Malt")</f>
        <v>Total MAIN Malt</v>
      </c>
      <c r="C137" s="1096"/>
      <c r="D137" s="1100"/>
      <c r="E137" s="1098">
        <f>'Upstream-Barley'!B34</f>
        <v>2966223.6</v>
      </c>
      <c r="F137" s="1116" t="s">
        <v>177</v>
      </c>
      <c r="G137" s="1104"/>
      <c r="H137" s="1104"/>
      <c r="I137" s="1117"/>
      <c r="J137" s="1104"/>
      <c r="K137" s="1129">
        <f>'Upstream-Barley'!B36</f>
        <v>24.073529222484964</v>
      </c>
    </row>
    <row r="138" spans="1:12" x14ac:dyDescent="0.3">
      <c r="A138" s="354"/>
      <c r="B138" s="974" t="str">
        <f>("Barley @"&amp;brew2_abb)</f>
        <v>Barley @2ND</v>
      </c>
      <c r="C138" s="951"/>
      <c r="D138" s="960"/>
      <c r="E138" s="59"/>
      <c r="F138" s="63"/>
      <c r="G138" s="85"/>
      <c r="H138" s="85"/>
      <c r="I138" s="85"/>
      <c r="J138" s="85"/>
      <c r="K138" s="973"/>
    </row>
    <row r="139" spans="1:12" x14ac:dyDescent="0.3">
      <c r="A139" s="354"/>
      <c r="B139" s="972" t="s">
        <v>238</v>
      </c>
      <c r="C139" s="950">
        <f>'Upstream-Barley'!E16</f>
        <v>70000</v>
      </c>
      <c r="D139" s="961" t="s">
        <v>234</v>
      </c>
      <c r="E139" s="60">
        <f>'Upstream-Barley'!E21</f>
        <v>1719102.9333333336</v>
      </c>
      <c r="F139" s="62" t="s">
        <v>177</v>
      </c>
      <c r="G139" s="137">
        <f>E139/$E$142</f>
        <v>0.36628042363771096</v>
      </c>
      <c r="H139" s="137">
        <f>E139/$E$159</f>
        <v>8.222362189370179E-2</v>
      </c>
      <c r="I139" s="61"/>
      <c r="J139" s="137">
        <f>E139/$E$164</f>
        <v>6.7704493080297273E-2</v>
      </c>
      <c r="K139" s="973"/>
    </row>
    <row r="140" spans="1:12" x14ac:dyDescent="0.3">
      <c r="A140" s="354"/>
      <c r="B140" s="972" t="s">
        <v>235</v>
      </c>
      <c r="C140" s="950">
        <f>C139</f>
        <v>70000</v>
      </c>
      <c r="D140" s="961" t="s">
        <v>234</v>
      </c>
      <c r="E140" s="60">
        <f>'Upstream-Barley'!E28</f>
        <v>8080.0000000000009</v>
      </c>
      <c r="F140" s="62" t="s">
        <v>177</v>
      </c>
      <c r="G140" s="137">
        <f>E140/$E$142</f>
        <v>1.7215640585605642E-3</v>
      </c>
      <c r="H140" s="137">
        <f>E140/$E$159</f>
        <v>3.8646136424937973E-4</v>
      </c>
      <c r="I140" s="61"/>
      <c r="J140" s="137">
        <f>E140/$E$164</f>
        <v>3.18219632740705E-4</v>
      </c>
      <c r="K140" s="973"/>
    </row>
    <row r="141" spans="1:12" x14ac:dyDescent="0.3">
      <c r="A141" s="354"/>
      <c r="B141" s="1127" t="str">
        <f>("Total "&amp;brew2_abb&amp;" Malt")</f>
        <v>Total 2ND Malt</v>
      </c>
      <c r="C141" s="1096"/>
      <c r="D141" s="1103"/>
      <c r="E141" s="1098">
        <f>'Upstream-Barley'!E34</f>
        <v>1727182.9333333336</v>
      </c>
      <c r="F141" s="1116" t="s">
        <v>177</v>
      </c>
      <c r="G141" s="1101"/>
      <c r="H141" s="1104"/>
      <c r="I141" s="1117"/>
      <c r="J141" s="1104"/>
      <c r="K141" s="1129">
        <f>'Upstream-Barley'!E36</f>
        <v>19.624664959663942</v>
      </c>
    </row>
    <row r="142" spans="1:12" ht="13.5" thickBot="1" x14ac:dyDescent="0.35">
      <c r="A142" s="354"/>
      <c r="B142" s="1105" t="s">
        <v>239</v>
      </c>
      <c r="C142" s="1090">
        <f>C135+C139</f>
        <v>190000</v>
      </c>
      <c r="D142" s="1091" t="s">
        <v>237</v>
      </c>
      <c r="E142" s="1108">
        <f>'Upstream-Barley'!B42</f>
        <v>4693406.5333333332</v>
      </c>
      <c r="F142" s="1109" t="s">
        <v>177</v>
      </c>
      <c r="G142" s="1111">
        <f>SUM(G135:G140)</f>
        <v>1</v>
      </c>
      <c r="H142" s="1094">
        <f>E142/$E$159</f>
        <v>0.22448270938724649</v>
      </c>
      <c r="I142" s="1110"/>
      <c r="J142" s="1094">
        <f>E142/$E$164</f>
        <v>0.18484332962130676</v>
      </c>
      <c r="K142" s="1112">
        <f>'Upstream-Barley'!B44</f>
        <v>22.219835779642871</v>
      </c>
    </row>
    <row r="143" spans="1:12" s="30" customFormat="1" x14ac:dyDescent="0.3">
      <c r="A143" s="354"/>
      <c r="B143" s="974" t="s">
        <v>159</v>
      </c>
      <c r="C143" s="975"/>
      <c r="D143" s="976"/>
      <c r="E143" s="977"/>
      <c r="F143" s="978"/>
      <c r="G143" s="979"/>
      <c r="H143" s="979"/>
      <c r="I143" s="979"/>
      <c r="J143" s="979"/>
      <c r="K143" s="971"/>
    </row>
    <row r="144" spans="1:12" s="30" customFormat="1" x14ac:dyDescent="0.3">
      <c r="A144" s="354"/>
      <c r="B144" s="972" t="s">
        <v>240</v>
      </c>
      <c r="C144" s="950">
        <f>'Downstream-Retail'!B28</f>
        <v>165000</v>
      </c>
      <c r="D144" s="907" t="s">
        <v>237</v>
      </c>
      <c r="E144" s="60">
        <f>'Downstream-Retail'!B62</f>
        <v>1927362.6514231476</v>
      </c>
      <c r="F144" s="62" t="s">
        <v>177</v>
      </c>
      <c r="G144" s="137">
        <f>E144/$E$146</f>
        <v>0.89401799460334608</v>
      </c>
      <c r="H144" s="137">
        <f>E144/$E$159</f>
        <v>9.2184554414887529E-2</v>
      </c>
      <c r="I144" s="61"/>
      <c r="J144" s="137">
        <f>E144/$E$164</f>
        <v>7.5906514244310067E-2</v>
      </c>
      <c r="K144" s="973">
        <f>'Downstream-Retail'!B64</f>
        <v>9.1246478007571863</v>
      </c>
    </row>
    <row r="145" spans="1:12" s="12" customFormat="1" x14ac:dyDescent="0.3">
      <c r="A145" s="354"/>
      <c r="B145" s="972" t="s">
        <v>241</v>
      </c>
      <c r="C145" s="950">
        <f>'Downstream-Retail'!B86</f>
        <v>15000</v>
      </c>
      <c r="D145" s="907" t="s">
        <v>237</v>
      </c>
      <c r="E145" s="60">
        <f>'Downstream-Retail'!B126</f>
        <v>228480.59005240147</v>
      </c>
      <c r="F145" s="62" t="s">
        <v>177</v>
      </c>
      <c r="G145" s="137">
        <f>E145/$E$146</f>
        <v>0.10598200539665389</v>
      </c>
      <c r="H145" s="140">
        <f>E145/$E$159</f>
        <v>1.0928084224771574E-2</v>
      </c>
      <c r="I145" s="61"/>
      <c r="J145" s="140">
        <f>E145/$E$164</f>
        <v>8.998392259264203E-3</v>
      </c>
      <c r="K145" s="973">
        <f>'Downstream-Retail'!B128</f>
        <v>1.0816879283190155</v>
      </c>
    </row>
    <row r="146" spans="1:12" ht="13.5" thickBot="1" x14ac:dyDescent="0.35">
      <c r="A146" s="354"/>
      <c r="B146" s="1105" t="s">
        <v>242</v>
      </c>
      <c r="C146" s="1410">
        <f>C144+C145</f>
        <v>180000</v>
      </c>
      <c r="D146" s="1107" t="s">
        <v>237</v>
      </c>
      <c r="E146" s="1108">
        <f>'Downstream-Retail'!B133</f>
        <v>2155843.2414755491</v>
      </c>
      <c r="F146" s="1109" t="s">
        <v>177</v>
      </c>
      <c r="G146" s="1111">
        <f>SUM(G144:G145)</f>
        <v>1</v>
      </c>
      <c r="H146" s="1094">
        <f>E146/$E$159</f>
        <v>0.10311263863965911</v>
      </c>
      <c r="I146" s="1110"/>
      <c r="J146" s="1094">
        <f>E146/$E$164</f>
        <v>8.4904906503574268E-2</v>
      </c>
      <c r="K146" s="1112">
        <f>'Downstream-Retail'!B135</f>
        <v>10.206335729076201</v>
      </c>
    </row>
    <row r="147" spans="1:12" x14ac:dyDescent="0.3">
      <c r="A147" s="354"/>
      <c r="B147" s="974" t="s">
        <v>162</v>
      </c>
      <c r="C147" s="992"/>
      <c r="D147" s="993"/>
      <c r="E147" s="994"/>
      <c r="F147" s="995"/>
      <c r="G147" s="996"/>
      <c r="H147" s="997"/>
      <c r="I147" s="996"/>
      <c r="J147" s="996"/>
      <c r="K147" s="971"/>
    </row>
    <row r="148" spans="1:12" x14ac:dyDescent="0.3">
      <c r="A148" s="354"/>
      <c r="B148" s="972" t="s">
        <v>243</v>
      </c>
      <c r="C148" s="954">
        <f>'Downstream-Use'!B41</f>
        <v>9093333.333333334</v>
      </c>
      <c r="D148" s="907" t="s">
        <v>244</v>
      </c>
      <c r="E148" s="60">
        <f>'Downstream-Use'!B42</f>
        <v>322969.00625935371</v>
      </c>
      <c r="F148" s="62" t="s">
        <v>177</v>
      </c>
      <c r="G148" s="138">
        <f>E148/E149</f>
        <v>1</v>
      </c>
      <c r="H148" s="140">
        <f>E148/$E$159</f>
        <v>1.5447406283323797E-2</v>
      </c>
      <c r="I148" s="138"/>
      <c r="J148" s="140">
        <f>E148/$E$164</f>
        <v>1.2719687940406186E-2</v>
      </c>
      <c r="K148" s="973">
        <f>'Downstream-Use'!B44</f>
        <v>1.5290212407618891</v>
      </c>
    </row>
    <row r="149" spans="1:12" ht="13.5" thickBot="1" x14ac:dyDescent="0.35">
      <c r="A149" s="354"/>
      <c r="B149" s="1105" t="s">
        <v>245</v>
      </c>
      <c r="C149" s="1124">
        <f>SUM(C147:C148)</f>
        <v>9093333.333333334</v>
      </c>
      <c r="D149" s="1107" t="s">
        <v>244</v>
      </c>
      <c r="E149" s="1108">
        <f>'Downstream-Use'!B42</f>
        <v>322969.00625935371</v>
      </c>
      <c r="F149" s="1109" t="s">
        <v>177</v>
      </c>
      <c r="G149" s="1111">
        <f>SUM(G148:G148)</f>
        <v>1</v>
      </c>
      <c r="H149" s="1094">
        <f>E149/$E$159</f>
        <v>1.5447406283323797E-2</v>
      </c>
      <c r="I149" s="1111"/>
      <c r="J149" s="1094">
        <f>E149/$E$164</f>
        <v>1.2719687940406186E-2</v>
      </c>
      <c r="K149" s="1112">
        <f>'Downstream-Use'!B44</f>
        <v>1.5290212407618891</v>
      </c>
    </row>
    <row r="150" spans="1:12" x14ac:dyDescent="0.3">
      <c r="A150" s="354"/>
      <c r="B150" s="974" t="str">
        <f>("Fiber packaging @"&amp;brew1_abb)</f>
        <v>Fiber packaging @MAIN</v>
      </c>
      <c r="C150" s="992"/>
      <c r="D150" s="993"/>
      <c r="E150" s="994"/>
      <c r="F150" s="995"/>
      <c r="G150" s="996"/>
      <c r="H150" s="997"/>
      <c r="I150" s="996"/>
      <c r="J150" s="996"/>
      <c r="K150" s="1043"/>
    </row>
    <row r="151" spans="1:12" x14ac:dyDescent="0.3">
      <c r="A151" s="354"/>
      <c r="B151" s="972" t="s">
        <v>246</v>
      </c>
      <c r="C151" s="954">
        <f>'Upstream-Fiber Packaging'!B33</f>
        <v>325452.54700000002</v>
      </c>
      <c r="D151" s="907" t="s">
        <v>181</v>
      </c>
      <c r="E151" s="60">
        <f>'Upstream-Fiber Packaging'!B34</f>
        <v>84617.662219999998</v>
      </c>
      <c r="F151" s="62" t="s">
        <v>177</v>
      </c>
      <c r="G151" s="746">
        <f>E151/$E$158</f>
        <v>0.16958991913191662</v>
      </c>
      <c r="H151" s="138">
        <f>E151/$E$159</f>
        <v>4.0472100471700984E-3</v>
      </c>
      <c r="I151" s="137"/>
      <c r="J151" s="138">
        <f>E151/$E$164</f>
        <v>3.3325496776021564E-3</v>
      </c>
      <c r="K151" s="1045">
        <f>'Upstream-Fiber Packaging'!B36</f>
        <v>0.68674720415262425</v>
      </c>
    </row>
    <row r="152" spans="1:12" x14ac:dyDescent="0.3">
      <c r="A152" s="354"/>
      <c r="B152" s="986" t="s">
        <v>247</v>
      </c>
      <c r="C152" s="1409">
        <f>'Upstream-Fiber Packaging'!B80</f>
        <v>197879.6845</v>
      </c>
      <c r="D152" s="909" t="s">
        <v>181</v>
      </c>
      <c r="E152" s="965">
        <f>'Upstream-Fiber Packaging'!B81</f>
        <v>211731.262415</v>
      </c>
      <c r="F152" s="966" t="s">
        <v>177</v>
      </c>
      <c r="G152" s="1047">
        <f>E152/$E$158</f>
        <v>0.42434979564079089</v>
      </c>
      <c r="H152" s="139">
        <f>E152/$E$159</f>
        <v>1.0126974322666375E-2</v>
      </c>
      <c r="I152" s="139"/>
      <c r="J152" s="140">
        <f>E152/$E$164</f>
        <v>8.3387431392855354E-3</v>
      </c>
      <c r="K152" s="1046">
        <f>'Upstream-Fiber Packaging'!B83</f>
        <v>1.7183865481554172</v>
      </c>
    </row>
    <row r="153" spans="1:12" ht="13.5" thickBot="1" x14ac:dyDescent="0.35">
      <c r="A153" s="354"/>
      <c r="B153" s="1127" t="str">
        <f>("Total "&amp;brew1_abb&amp;" Packaging")</f>
        <v>Total MAIN Packaging</v>
      </c>
      <c r="C153" s="1411">
        <f>C152+C151</f>
        <v>523332.23149999999</v>
      </c>
      <c r="D153" s="1103" t="s">
        <v>181</v>
      </c>
      <c r="E153" s="1098">
        <f>'Upstream-Fiber Packaging'!B87</f>
        <v>296348.924635</v>
      </c>
      <c r="F153" s="1116" t="s">
        <v>177</v>
      </c>
      <c r="G153" s="1099"/>
      <c r="H153" s="1101"/>
      <c r="I153" s="1104"/>
      <c r="J153" s="1104"/>
      <c r="K153" s="1128">
        <f>SUM(K151:K152)</f>
        <v>2.4051337523080414</v>
      </c>
    </row>
    <row r="154" spans="1:12" x14ac:dyDescent="0.3">
      <c r="A154" s="354"/>
      <c r="B154" s="974" t="str">
        <f>("Fiber packaging @"&amp;brew2_abb)</f>
        <v>Fiber packaging @2ND</v>
      </c>
      <c r="C154" s="528"/>
      <c r="D154" s="529"/>
      <c r="E154" s="530"/>
      <c r="F154" s="531"/>
      <c r="G154" s="1048"/>
      <c r="H154" s="1049"/>
      <c r="I154" s="532"/>
      <c r="J154" s="532"/>
      <c r="K154" s="1044"/>
    </row>
    <row r="155" spans="1:12" x14ac:dyDescent="0.3">
      <c r="A155" s="354"/>
      <c r="B155" s="972" t="s">
        <v>246</v>
      </c>
      <c r="C155" s="954">
        <f>'Upstream-Fiber Packaging'!E33</f>
        <v>186572.88399999999</v>
      </c>
      <c r="D155" s="907" t="s">
        <v>181</v>
      </c>
      <c r="E155" s="60">
        <f>'Upstream-Fiber Packaging'!E34</f>
        <v>48508.949840000008</v>
      </c>
      <c r="F155" s="62" t="s">
        <v>177</v>
      </c>
      <c r="G155" s="746">
        <f>E155/$E$158</f>
        <v>9.7221178944310024E-2</v>
      </c>
      <c r="H155" s="138">
        <f>E155/$E$159</f>
        <v>2.3201528383008825E-3</v>
      </c>
      <c r="I155" s="137"/>
      <c r="J155" s="138">
        <f>E155/$E$164</f>
        <v>1.9104579458814456E-3</v>
      </c>
      <c r="K155" s="1045">
        <f>'Upstream-Fiber Packaging'!E36</f>
        <v>0.55117027257669204</v>
      </c>
    </row>
    <row r="156" spans="1:12" x14ac:dyDescent="0.3">
      <c r="A156" s="354"/>
      <c r="B156" s="972" t="s">
        <v>247</v>
      </c>
      <c r="C156" s="954">
        <f>'Upstream-Fiber Packaging'!E80</f>
        <v>144015.587</v>
      </c>
      <c r="D156" s="907" t="s">
        <v>181</v>
      </c>
      <c r="E156" s="60">
        <f>'Upstream-Fiber Packaging'!E81</f>
        <v>154096.67809000003</v>
      </c>
      <c r="F156" s="62" t="s">
        <v>177</v>
      </c>
      <c r="G156" s="746">
        <f>E156/$E$158</f>
        <v>0.3088391062829825</v>
      </c>
      <c r="H156" s="138">
        <f>E156/$E$159</f>
        <v>7.3703480743761022E-3</v>
      </c>
      <c r="I156" s="138"/>
      <c r="J156" s="137">
        <f>E156/$E$164</f>
        <v>6.0688846916290154E-3</v>
      </c>
      <c r="K156" s="1045">
        <f>'Upstream-Fiber Packaging'!E83</f>
        <v>1.75088325651595</v>
      </c>
    </row>
    <row r="157" spans="1:12" x14ac:dyDescent="0.3">
      <c r="A157" s="354"/>
      <c r="B157" s="1127" t="str">
        <f>("Total "&amp;brew2_abb&amp;" Packaging")</f>
        <v>Total 2ND Packaging</v>
      </c>
      <c r="C157" s="1411">
        <f>C156+C155</f>
        <v>330588.47100000002</v>
      </c>
      <c r="D157" s="1103" t="s">
        <v>181</v>
      </c>
      <c r="E157" s="1098">
        <f>'Upstream-Fiber Packaging'!E87</f>
        <v>202605.62793000005</v>
      </c>
      <c r="F157" s="1116" t="s">
        <v>177</v>
      </c>
      <c r="G157" s="1125"/>
      <c r="H157" s="1101"/>
      <c r="I157" s="1101"/>
      <c r="J157" s="1104"/>
      <c r="K157" s="1129">
        <f>SUM(K155:K156)</f>
        <v>2.302053529092642</v>
      </c>
    </row>
    <row r="158" spans="1:12" ht="13.5" thickBot="1" x14ac:dyDescent="0.35">
      <c r="A158" s="354"/>
      <c r="B158" s="1118" t="s">
        <v>248</v>
      </c>
      <c r="C158" s="1412">
        <f>C157+C153</f>
        <v>853920.70250000001</v>
      </c>
      <c r="D158" s="1091" t="s">
        <v>181</v>
      </c>
      <c r="E158" s="1092">
        <f>'Upstream-Fiber Packaging'!B95</f>
        <v>498954.55256500002</v>
      </c>
      <c r="F158" s="1093" t="s">
        <v>177</v>
      </c>
      <c r="G158" s="1126">
        <f>SUM(G151:G156)</f>
        <v>1</v>
      </c>
      <c r="H158" s="1121">
        <f>E158/$E$159</f>
        <v>2.3864685282513457E-2</v>
      </c>
      <c r="I158" s="1121"/>
      <c r="J158" s="1094">
        <f>E158/$E$164</f>
        <v>1.9650635454398154E-2</v>
      </c>
      <c r="K158" s="1122">
        <f>'Upstream-Fiber Packaging'!B97</f>
        <v>2.3621836593016248</v>
      </c>
    </row>
    <row r="159" spans="1:12" ht="15" customHeight="1" x14ac:dyDescent="0.3">
      <c r="A159" s="51"/>
      <c r="B159" s="1747" t="s">
        <v>142</v>
      </c>
      <c r="C159" s="89"/>
      <c r="D159" s="90"/>
      <c r="E159" s="959">
        <f>SUM(E71,E73,E76,E79,E88,E101,E124,E133,E142,E146,E149,E158)</f>
        <v>20907652.737017345</v>
      </c>
      <c r="F159" s="69" t="s">
        <v>177</v>
      </c>
      <c r="G159" s="949"/>
      <c r="H159" s="91" t="s">
        <v>154</v>
      </c>
      <c r="I159" s="91"/>
      <c r="J159" s="1769">
        <f>E159/$E$164</f>
        <v>0.8234190068618632</v>
      </c>
      <c r="K159" s="1512">
        <f>SUM(K71,K73,K76,K79,K88,K101,K124,K133,K142,K146,K149,K158)</f>
        <v>98.982393077376329</v>
      </c>
    </row>
    <row r="160" spans="1:12" x14ac:dyDescent="0.3">
      <c r="A160" s="51"/>
      <c r="B160" s="1748"/>
      <c r="C160" s="89"/>
      <c r="D160" s="90"/>
      <c r="E160" s="125">
        <f>E159/1000</f>
        <v>20907.652737017346</v>
      </c>
      <c r="F160" s="64" t="s">
        <v>191</v>
      </c>
      <c r="G160" s="906"/>
      <c r="H160" s="92">
        <f>SUM(H71,H73,H76,H79,H88,H101,H124,H133,H142,H146,H149,H158)</f>
        <v>1</v>
      </c>
      <c r="I160" s="91"/>
      <c r="J160" s="1770"/>
      <c r="K160" s="1513">
        <f>E159/'Brewery-Control Data'!$H$10</f>
        <v>98.982393077376329</v>
      </c>
      <c r="L160" s="30"/>
    </row>
    <row r="161" spans="1:12" x14ac:dyDescent="0.3">
      <c r="A161" s="51"/>
      <c r="B161" s="28"/>
      <c r="C161" s="89"/>
      <c r="D161" s="90"/>
      <c r="E161" s="29"/>
      <c r="F161" s="29"/>
      <c r="G161" s="947"/>
      <c r="H161" s="91"/>
      <c r="I161" s="91"/>
      <c r="J161" s="91"/>
      <c r="K161" s="93"/>
      <c r="L161" s="30"/>
    </row>
    <row r="162" spans="1:12" x14ac:dyDescent="0.3">
      <c r="B162" s="2"/>
      <c r="C162" s="3"/>
      <c r="D162" s="4"/>
      <c r="E162" s="118"/>
      <c r="F162" s="29"/>
      <c r="G162" s="56"/>
      <c r="H162" s="29"/>
      <c r="I162" s="29"/>
      <c r="J162" s="29"/>
      <c r="K162" s="856"/>
    </row>
    <row r="163" spans="1:12" ht="12.75" customHeight="1" thickBot="1" x14ac:dyDescent="0.35">
      <c r="A163" s="16"/>
      <c r="C163" s="98"/>
      <c r="D163" s="4"/>
      <c r="E163" s="6"/>
      <c r="F163" s="6"/>
      <c r="G163" s="6"/>
      <c r="H163" s="6"/>
      <c r="I163" s="6"/>
      <c r="J163" s="947"/>
      <c r="K163" s="856"/>
    </row>
    <row r="164" spans="1:12" ht="15.75" customHeight="1" x14ac:dyDescent="0.45">
      <c r="A164" s="16"/>
      <c r="B164" s="955"/>
      <c r="C164" s="1785" t="s">
        <v>249</v>
      </c>
      <c r="D164" s="1786"/>
      <c r="E164" s="1514">
        <f>SUM(E33,E52,E159)</f>
        <v>25391268.069823429</v>
      </c>
      <c r="F164" s="1514" t="s">
        <v>250</v>
      </c>
      <c r="G164" s="1515"/>
      <c r="H164" s="1516"/>
      <c r="I164" s="1516"/>
      <c r="J164" s="1517" t="s">
        <v>251</v>
      </c>
      <c r="K164" s="856"/>
    </row>
    <row r="165" spans="1:12" ht="19" thickBot="1" x14ac:dyDescent="0.5">
      <c r="A165" s="16"/>
      <c r="B165" s="16"/>
      <c r="C165" s="1787"/>
      <c r="D165" s="1788"/>
      <c r="E165" s="1518">
        <f>E164/1000</f>
        <v>25391.268069823429</v>
      </c>
      <c r="F165" s="1518" t="s">
        <v>252</v>
      </c>
      <c r="G165" s="1519"/>
      <c r="H165" s="1516"/>
      <c r="I165" s="1516"/>
      <c r="J165" s="1517">
        <f>J159+J52+J33</f>
        <v>1</v>
      </c>
      <c r="K165" s="856"/>
    </row>
    <row r="166" spans="1:12" ht="15" customHeight="1" x14ac:dyDescent="0.45">
      <c r="A166" s="16"/>
      <c r="B166" s="54"/>
      <c r="C166" s="1520"/>
      <c r="D166" s="1521"/>
      <c r="E166" s="1522"/>
      <c r="F166" s="1522"/>
      <c r="G166" s="1522"/>
      <c r="H166" s="1516"/>
      <c r="I166" s="1516"/>
      <c r="J166" s="1516"/>
      <c r="K166" s="856"/>
    </row>
    <row r="167" spans="1:12" ht="15" customHeight="1" x14ac:dyDescent="0.3">
      <c r="A167" s="16"/>
      <c r="B167" s="956"/>
      <c r="C167" s="3"/>
      <c r="D167" s="13"/>
      <c r="E167" s="29"/>
      <c r="F167" s="29"/>
      <c r="G167" s="29"/>
      <c r="H167" s="6"/>
      <c r="I167" s="6"/>
      <c r="J167" s="6"/>
      <c r="K167" s="856"/>
    </row>
    <row r="168" spans="1:12" x14ac:dyDescent="0.3">
      <c r="A168" s="16"/>
      <c r="B168" s="2"/>
      <c r="I168" s="6"/>
      <c r="J168" s="6"/>
      <c r="K168" s="856"/>
    </row>
    <row r="169" spans="1:12" x14ac:dyDescent="0.3">
      <c r="A169" s="16"/>
      <c r="B169" s="2"/>
      <c r="I169" s="6"/>
      <c r="K169" s="856"/>
    </row>
    <row r="170" spans="1:12" x14ac:dyDescent="0.3">
      <c r="A170" s="16"/>
      <c r="B170" s="2"/>
      <c r="I170" s="6"/>
      <c r="K170" s="856"/>
    </row>
    <row r="171" spans="1:12" x14ac:dyDescent="0.3">
      <c r="A171" s="16"/>
      <c r="B171" s="2"/>
      <c r="I171" s="6"/>
      <c r="K171" s="856"/>
    </row>
    <row r="172" spans="1:12" x14ac:dyDescent="0.3">
      <c r="A172" s="16"/>
      <c r="B172" s="2"/>
      <c r="I172" s="6"/>
      <c r="K172" s="856"/>
    </row>
    <row r="173" spans="1:12" x14ac:dyDescent="0.3">
      <c r="A173" s="16"/>
      <c r="B173" s="2"/>
      <c r="I173" s="6"/>
      <c r="K173" s="856"/>
    </row>
    <row r="174" spans="1:12" x14ac:dyDescent="0.3">
      <c r="A174" s="16"/>
      <c r="B174" s="2"/>
      <c r="I174" s="6"/>
      <c r="K174" s="856"/>
    </row>
    <row r="175" spans="1:12" x14ac:dyDescent="0.3">
      <c r="A175" s="16"/>
      <c r="B175" s="2"/>
      <c r="I175" s="6"/>
      <c r="K175" s="856"/>
    </row>
    <row r="176" spans="1:12" x14ac:dyDescent="0.3">
      <c r="A176" s="16"/>
      <c r="B176" s="2"/>
      <c r="I176" s="6"/>
      <c r="K176" s="856"/>
    </row>
    <row r="177" spans="1:20" x14ac:dyDescent="0.3">
      <c r="A177" s="16"/>
      <c r="B177" s="2"/>
      <c r="I177" s="6"/>
      <c r="K177" s="856"/>
    </row>
    <row r="178" spans="1:20" x14ac:dyDescent="0.3">
      <c r="A178" s="16"/>
      <c r="B178" s="2"/>
      <c r="I178" s="6"/>
      <c r="K178" s="856"/>
    </row>
    <row r="179" spans="1:20" x14ac:dyDescent="0.3">
      <c r="A179" s="16"/>
      <c r="B179" s="2"/>
      <c r="I179" s="6"/>
      <c r="K179" s="856"/>
    </row>
    <row r="180" spans="1:20" x14ac:dyDescent="0.3">
      <c r="J180" s="6"/>
    </row>
    <row r="181" spans="1:20" x14ac:dyDescent="0.3">
      <c r="J181" s="6"/>
    </row>
    <row r="185" spans="1:20" ht="16" thickBot="1" x14ac:dyDescent="0.4">
      <c r="B185" s="1678"/>
      <c r="C185" s="1678"/>
      <c r="D185" s="1678"/>
      <c r="E185" s="1678"/>
      <c r="F185" s="1678"/>
      <c r="G185" s="1678"/>
      <c r="H185" s="1678"/>
      <c r="I185" s="1678"/>
      <c r="J185" s="1678"/>
      <c r="K185" s="1679" t="s">
        <v>72</v>
      </c>
      <c r="L185" s="1680"/>
      <c r="M185" s="1680"/>
      <c r="N185" s="1680"/>
      <c r="O185" s="1680"/>
      <c r="P185" s="1680"/>
      <c r="Q185" s="1680"/>
      <c r="R185" s="1680"/>
      <c r="S185" s="1680"/>
      <c r="T185" s="1681"/>
    </row>
    <row r="186" spans="1:20" ht="15" thickTop="1" x14ac:dyDescent="0.35">
      <c r="B186" s="87"/>
      <c r="C186" s="87"/>
      <c r="D186" s="87"/>
      <c r="E186" s="87"/>
      <c r="F186" s="87"/>
      <c r="G186" s="87"/>
      <c r="H186" s="87"/>
      <c r="I186" s="87"/>
      <c r="J186" s="87"/>
      <c r="K186" s="87"/>
      <c r="L186" s="457"/>
      <c r="M186" s="457"/>
      <c r="N186" s="457"/>
      <c r="O186" s="457"/>
      <c r="P186" s="457"/>
      <c r="Q186" s="457"/>
      <c r="R186" s="457"/>
      <c r="S186" s="457"/>
      <c r="T186" s="457"/>
    </row>
  </sheetData>
  <mergeCells count="45">
    <mergeCell ref="A1:K1"/>
    <mergeCell ref="D4:D6"/>
    <mergeCell ref="A37:A39"/>
    <mergeCell ref="B37:B39"/>
    <mergeCell ref="C37:C39"/>
    <mergeCell ref="D37:D39"/>
    <mergeCell ref="C4:C6"/>
    <mergeCell ref="A4:A6"/>
    <mergeCell ref="J4:J6"/>
    <mergeCell ref="H4:H6"/>
    <mergeCell ref="J37:J39"/>
    <mergeCell ref="B4:B6"/>
    <mergeCell ref="J33:J34"/>
    <mergeCell ref="I37:I39"/>
    <mergeCell ref="H33:H34"/>
    <mergeCell ref="I4:I6"/>
    <mergeCell ref="C164:D165"/>
    <mergeCell ref="C52:D53"/>
    <mergeCell ref="C33:D34"/>
    <mergeCell ref="E58:F60"/>
    <mergeCell ref="E37:F39"/>
    <mergeCell ref="C58:C60"/>
    <mergeCell ref="D58:D60"/>
    <mergeCell ref="A3:B3"/>
    <mergeCell ref="K52:K53"/>
    <mergeCell ref="H58:H60"/>
    <mergeCell ref="H37:H39"/>
    <mergeCell ref="G37:G39"/>
    <mergeCell ref="A58:A60"/>
    <mergeCell ref="G4:G6"/>
    <mergeCell ref="G58:G60"/>
    <mergeCell ref="I58:I60"/>
    <mergeCell ref="I33:I34"/>
    <mergeCell ref="I52:I53"/>
    <mergeCell ref="J52:J53"/>
    <mergeCell ref="B159:B160"/>
    <mergeCell ref="B58:B60"/>
    <mergeCell ref="E4:F6"/>
    <mergeCell ref="K4:K6"/>
    <mergeCell ref="K37:K39"/>
    <mergeCell ref="K58:K60"/>
    <mergeCell ref="J58:J60"/>
    <mergeCell ref="A57:B57"/>
    <mergeCell ref="A36:B36"/>
    <mergeCell ref="J159:J160"/>
  </mergeCells>
  <phoneticPr fontId="44" type="noConversion"/>
  <pageMargins left="0.45" right="0.45" top="0.5" bottom="0.5" header="0" footer="0"/>
  <pageSetup orientation="portrait" horizontalDpi="4294967292" verticalDpi="4294967292" r:id="rId1"/>
  <headerFooter>
    <oddHeader xml:space="preserve">&amp;C
</oddHeader>
  </headerFooter>
  <ignoredErrors>
    <ignoredError sqref="E1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R51"/>
  <sheetViews>
    <sheetView zoomScaleNormal="100" workbookViewId="0">
      <selection sqref="A1:B2"/>
    </sheetView>
  </sheetViews>
  <sheetFormatPr defaultColWidth="8.81640625" defaultRowHeight="14.5" x14ac:dyDescent="0.35"/>
  <cols>
    <col min="1" max="1" width="47.453125" customWidth="1"/>
    <col min="2" max="2" width="15.1796875" customWidth="1"/>
    <col min="3" max="3" width="17.81640625" bestFit="1" customWidth="1"/>
  </cols>
  <sheetData>
    <row r="1" spans="1:18" ht="15" customHeight="1" x14ac:dyDescent="0.35">
      <c r="A1" s="1809" t="str">
        <f>(ghg_year&amp;" "&amp;company_name&amp;" GHG Emissions - Brewery Sources")</f>
        <v>2020 Low Carbon Brewing Company GHG Emissions - Brewery Sources</v>
      </c>
      <c r="B1" s="1810"/>
      <c r="C1" s="1806" t="s">
        <v>177</v>
      </c>
      <c r="D1" s="687"/>
      <c r="E1" s="687"/>
      <c r="F1" s="687"/>
      <c r="G1" s="687"/>
      <c r="H1" s="687"/>
      <c r="I1" s="687"/>
      <c r="J1" s="687"/>
      <c r="K1" s="687"/>
      <c r="L1" s="687"/>
      <c r="M1" s="687"/>
      <c r="N1" s="687"/>
      <c r="O1" s="687"/>
      <c r="P1" s="687"/>
      <c r="Q1" s="687"/>
      <c r="R1" s="687"/>
    </row>
    <row r="2" spans="1:18" ht="15" customHeight="1" x14ac:dyDescent="0.35">
      <c r="A2" s="1811"/>
      <c r="B2" s="1746"/>
      <c r="C2" s="1807"/>
      <c r="D2" s="957"/>
      <c r="E2" s="687"/>
      <c r="F2" s="687"/>
      <c r="G2" s="687"/>
      <c r="H2" s="687"/>
      <c r="I2" s="687"/>
      <c r="J2" s="687"/>
      <c r="K2" s="687"/>
      <c r="L2" s="687"/>
      <c r="M2" s="687"/>
      <c r="N2" s="687"/>
      <c r="O2" s="687"/>
      <c r="P2" s="687"/>
      <c r="Q2" s="687"/>
      <c r="R2" s="687"/>
    </row>
    <row r="3" spans="1:18" x14ac:dyDescent="0.35">
      <c r="A3" s="1477" t="s">
        <v>253</v>
      </c>
      <c r="B3" s="196">
        <f>C3/$C$11</f>
        <v>0.41201815176365458</v>
      </c>
      <c r="C3" s="1481">
        <f>'Report-ScopeSummary'!E50</f>
        <v>1873478.221899664</v>
      </c>
      <c r="D3" s="1050"/>
      <c r="E3" s="687"/>
      <c r="F3" s="687"/>
      <c r="G3" s="687"/>
      <c r="H3" s="687"/>
      <c r="I3" s="687"/>
      <c r="J3" s="687"/>
      <c r="K3" s="687"/>
      <c r="L3" s="687"/>
      <c r="M3" s="687"/>
      <c r="N3" s="687"/>
      <c r="O3" s="687"/>
      <c r="P3" s="687"/>
      <c r="Q3" s="687"/>
      <c r="R3" s="687"/>
    </row>
    <row r="4" spans="1:18" x14ac:dyDescent="0.35">
      <c r="A4" s="1478" t="s">
        <v>135</v>
      </c>
      <c r="B4" s="1151">
        <f t="shared" ref="B4:B9" si="0">C4/$C$11</f>
        <v>0.37259229077958728</v>
      </c>
      <c r="C4" s="1482">
        <f>'Report-ScopeSummary'!E9</f>
        <v>1694205.7999999998</v>
      </c>
      <c r="D4" s="1050"/>
      <c r="E4" s="687"/>
      <c r="F4" s="687"/>
      <c r="G4" s="687"/>
      <c r="H4" s="687"/>
      <c r="I4" s="687"/>
      <c r="J4" s="687"/>
      <c r="K4" s="687"/>
      <c r="L4" s="687"/>
      <c r="M4" s="687"/>
      <c r="N4" s="687"/>
      <c r="O4" s="687"/>
      <c r="P4" s="687"/>
      <c r="Q4" s="687"/>
      <c r="R4" s="687"/>
    </row>
    <row r="5" spans="1:18" x14ac:dyDescent="0.35">
      <c r="A5" s="1478" t="s">
        <v>149</v>
      </c>
      <c r="B5" s="1151">
        <f t="shared" si="0"/>
        <v>0.15590677095506467</v>
      </c>
      <c r="C5" s="1482">
        <f>'Report-ScopeSummary'!E21</f>
        <v>708920.07738183998</v>
      </c>
      <c r="D5" s="1050"/>
      <c r="E5" s="687"/>
      <c r="F5" s="687"/>
      <c r="G5" s="687"/>
      <c r="H5" s="687"/>
      <c r="I5" s="687"/>
      <c r="J5" s="687"/>
      <c r="K5" s="687"/>
      <c r="L5" s="687"/>
      <c r="M5" s="687"/>
      <c r="N5" s="687"/>
      <c r="O5" s="687"/>
      <c r="P5" s="687"/>
      <c r="Q5" s="687"/>
      <c r="R5" s="687"/>
    </row>
    <row r="6" spans="1:18" x14ac:dyDescent="0.35">
      <c r="A6" s="1478" t="s">
        <v>188</v>
      </c>
      <c r="B6" s="1151">
        <f t="shared" si="0"/>
        <v>1.0469873249569682E-2</v>
      </c>
      <c r="C6" s="1482">
        <f>'Report-ScopeSummary'!E31</f>
        <v>47607.318840579712</v>
      </c>
      <c r="D6" s="1050"/>
      <c r="E6" s="687"/>
      <c r="F6" s="687"/>
      <c r="G6" s="687"/>
      <c r="H6" s="687"/>
      <c r="I6" s="687"/>
      <c r="J6" s="687"/>
      <c r="K6" s="687"/>
      <c r="L6" s="687"/>
      <c r="M6" s="687"/>
      <c r="N6" s="687"/>
      <c r="O6" s="687"/>
      <c r="P6" s="687"/>
      <c r="Q6" s="687"/>
      <c r="R6" s="687"/>
    </row>
    <row r="7" spans="1:18" x14ac:dyDescent="0.35">
      <c r="A7" s="1479" t="s">
        <v>254</v>
      </c>
      <c r="B7" s="1492">
        <f t="shared" si="0"/>
        <v>4.2158952674136102E-3</v>
      </c>
      <c r="C7" s="1483">
        <f>'Report-ScopeSummary'!E73</f>
        <v>19170</v>
      </c>
      <c r="D7" s="1050"/>
      <c r="E7" s="687"/>
      <c r="F7" s="687"/>
      <c r="G7" s="687"/>
      <c r="H7" s="687"/>
      <c r="I7" s="687"/>
      <c r="J7" s="687"/>
      <c r="K7" s="687"/>
      <c r="L7" s="687"/>
      <c r="M7" s="687"/>
      <c r="N7" s="687"/>
      <c r="O7" s="687"/>
      <c r="P7" s="687"/>
      <c r="Q7" s="687"/>
      <c r="R7" s="687"/>
    </row>
    <row r="8" spans="1:18" x14ac:dyDescent="0.35">
      <c r="A8" s="1479" t="s">
        <v>165</v>
      </c>
      <c r="B8" s="1161">
        <f t="shared" si="0"/>
        <v>9.7406690267820006E-3</v>
      </c>
      <c r="C8" s="1483">
        <f>'Report-ScopeSummary'!E71</f>
        <v>44291.571160866675</v>
      </c>
      <c r="D8" s="1050"/>
      <c r="E8" s="687"/>
      <c r="F8" s="687"/>
      <c r="G8" s="687"/>
      <c r="H8" s="687"/>
      <c r="I8" s="687"/>
      <c r="J8" s="687"/>
      <c r="K8" s="687"/>
      <c r="L8" s="687"/>
      <c r="M8" s="687"/>
      <c r="N8" s="687"/>
      <c r="O8" s="687"/>
      <c r="P8" s="687"/>
      <c r="Q8" s="687"/>
      <c r="R8" s="687"/>
    </row>
    <row r="9" spans="1:18" ht="15" thickBot="1" x14ac:dyDescent="0.4">
      <c r="A9" s="1480" t="s">
        <v>151</v>
      </c>
      <c r="B9" s="1244">
        <f t="shared" si="0"/>
        <v>3.505634895792796E-2</v>
      </c>
      <c r="C9" s="1484">
        <f>'Report-ScopeSummary'!E12</f>
        <v>159403.91468400013</v>
      </c>
      <c r="D9" s="1050"/>
      <c r="E9" s="687"/>
      <c r="F9" s="687"/>
      <c r="G9" s="687"/>
      <c r="H9" s="687"/>
      <c r="I9" s="687"/>
      <c r="J9" s="687"/>
      <c r="K9" s="687"/>
      <c r="L9" s="687"/>
      <c r="M9" s="687"/>
      <c r="N9" s="687"/>
      <c r="O9" s="687"/>
      <c r="P9" s="687"/>
      <c r="Q9" s="687"/>
      <c r="R9" s="687"/>
    </row>
    <row r="10" spans="1:18" x14ac:dyDescent="0.35">
      <c r="A10" s="119"/>
      <c r="B10" s="91"/>
      <c r="C10" s="687"/>
      <c r="D10" s="687"/>
      <c r="E10" s="687"/>
      <c r="F10" s="687"/>
      <c r="G10" s="687"/>
      <c r="H10" s="687"/>
      <c r="I10" s="687"/>
      <c r="J10" s="687"/>
      <c r="K10" s="687"/>
      <c r="L10" s="687"/>
      <c r="M10" s="687"/>
      <c r="N10" s="687"/>
      <c r="O10" s="687"/>
      <c r="P10" s="687"/>
      <c r="Q10" s="687"/>
      <c r="R10" s="687"/>
    </row>
    <row r="11" spans="1:18" x14ac:dyDescent="0.35">
      <c r="A11" s="1808" t="s">
        <v>255</v>
      </c>
      <c r="B11" s="1808"/>
      <c r="C11" s="1485">
        <f>SUM(C3:C9)</f>
        <v>4547076.9039669512</v>
      </c>
      <c r="D11" s="687"/>
      <c r="E11" s="687"/>
      <c r="F11" s="687"/>
      <c r="G11" s="687"/>
      <c r="H11" s="687"/>
      <c r="I11" s="687"/>
      <c r="J11" s="687"/>
      <c r="K11" s="687"/>
      <c r="L11" s="687"/>
      <c r="M11" s="687"/>
      <c r="N11" s="687"/>
      <c r="O11" s="687"/>
      <c r="P11" s="687"/>
      <c r="Q11" s="687"/>
      <c r="R11" s="687"/>
    </row>
    <row r="12" spans="1:18" x14ac:dyDescent="0.35">
      <c r="A12" s="1808" t="s">
        <v>256</v>
      </c>
      <c r="B12" s="1808"/>
      <c r="C12" s="1485">
        <f>'Report-ScopeSummary'!E164</f>
        <v>25391268.069823429</v>
      </c>
      <c r="D12" s="687"/>
      <c r="E12" s="687"/>
      <c r="F12" s="687"/>
      <c r="G12" s="687"/>
      <c r="H12" s="687"/>
      <c r="I12" s="687"/>
      <c r="J12" s="687"/>
      <c r="K12" s="687"/>
      <c r="L12" s="687"/>
      <c r="M12" s="687"/>
      <c r="N12" s="687"/>
      <c r="O12" s="687"/>
      <c r="P12" s="687"/>
      <c r="Q12" s="687"/>
      <c r="R12" s="687"/>
    </row>
    <row r="13" spans="1:18" x14ac:dyDescent="0.35">
      <c r="A13" s="1808" t="s">
        <v>257</v>
      </c>
      <c r="B13" s="1808"/>
      <c r="C13" s="640">
        <f>C11/C12</f>
        <v>0.17908033940892387</v>
      </c>
      <c r="D13" s="687"/>
      <c r="E13" s="687"/>
      <c r="F13" s="687"/>
      <c r="G13" s="687"/>
      <c r="H13" s="687"/>
      <c r="I13" s="687"/>
      <c r="J13" s="687"/>
      <c r="K13" s="687"/>
      <c r="L13" s="687"/>
      <c r="M13" s="687"/>
      <c r="N13" s="687"/>
      <c r="O13" s="687"/>
      <c r="P13" s="687"/>
      <c r="Q13" s="687"/>
      <c r="R13" s="687"/>
    </row>
    <row r="15" spans="1:18" x14ac:dyDescent="0.35">
      <c r="A15" s="687"/>
      <c r="B15" s="687"/>
      <c r="C15" s="722"/>
      <c r="D15" s="687"/>
      <c r="E15" s="687"/>
      <c r="F15" s="687"/>
      <c r="G15" s="687"/>
      <c r="H15" s="687"/>
      <c r="I15" s="687"/>
      <c r="J15" s="687"/>
      <c r="K15" s="687"/>
      <c r="L15" s="687"/>
      <c r="M15" s="687"/>
      <c r="N15" s="687"/>
      <c r="O15" s="687"/>
      <c r="P15" s="687"/>
      <c r="Q15" s="687"/>
      <c r="R15" s="687"/>
    </row>
    <row r="17" spans="3:3" x14ac:dyDescent="0.35">
      <c r="C17" s="177"/>
    </row>
    <row r="30" spans="3:3" s="687" customFormat="1" x14ac:dyDescent="0.35"/>
    <row r="31" spans="3:3" s="687" customFormat="1" x14ac:dyDescent="0.35"/>
    <row r="32" spans="3:3" s="687" customFormat="1" x14ac:dyDescent="0.35"/>
    <row r="33" s="687" customFormat="1" x14ac:dyDescent="0.35"/>
    <row r="34" s="687" customFormat="1" x14ac:dyDescent="0.35"/>
    <row r="35" s="687" customFormat="1" x14ac:dyDescent="0.35"/>
    <row r="36" s="687" customFormat="1" x14ac:dyDescent="0.35"/>
    <row r="37" s="687" customFormat="1" x14ac:dyDescent="0.35"/>
    <row r="38" s="687" customFormat="1" x14ac:dyDescent="0.35"/>
    <row r="39" s="687" customFormat="1" x14ac:dyDescent="0.35"/>
    <row r="40" s="687" customFormat="1" x14ac:dyDescent="0.35"/>
    <row r="41" s="687" customFormat="1" x14ac:dyDescent="0.35"/>
    <row r="42" s="687" customFormat="1" x14ac:dyDescent="0.35"/>
    <row r="43" s="687" customFormat="1" x14ac:dyDescent="0.35"/>
    <row r="44" s="687" customFormat="1" x14ac:dyDescent="0.35"/>
    <row r="50" spans="1:15" ht="16" thickBot="1" x14ac:dyDescent="0.4">
      <c r="A50" s="1678"/>
      <c r="B50" s="1678"/>
      <c r="C50" s="1678"/>
      <c r="D50" s="1678"/>
      <c r="E50" s="1678"/>
      <c r="F50" s="1678"/>
      <c r="G50" s="1678"/>
      <c r="H50" s="1678"/>
      <c r="I50" s="1678"/>
      <c r="J50" s="1678"/>
      <c r="K50" s="1678"/>
      <c r="L50" s="1678"/>
      <c r="M50" s="1678"/>
      <c r="N50" s="1678"/>
      <c r="O50" s="1679" t="s">
        <v>72</v>
      </c>
    </row>
    <row r="51" spans="1:15" ht="15" thickTop="1" x14ac:dyDescent="0.35">
      <c r="A51" s="87"/>
      <c r="B51" s="87"/>
      <c r="C51" s="87"/>
      <c r="D51" s="87"/>
      <c r="E51" s="87"/>
      <c r="F51" s="87"/>
      <c r="G51" s="87"/>
      <c r="H51" s="87"/>
      <c r="I51" s="87"/>
      <c r="J51" s="87"/>
      <c r="K51" s="87"/>
      <c r="L51" s="87"/>
      <c r="M51" s="87"/>
      <c r="N51" s="87"/>
      <c r="O51" s="87"/>
    </row>
  </sheetData>
  <mergeCells count="5">
    <mergeCell ref="C1:C2"/>
    <mergeCell ref="A11:B11"/>
    <mergeCell ref="A12:B12"/>
    <mergeCell ref="A13:B13"/>
    <mergeCell ref="A1:B2"/>
  </mergeCells>
  <pageMargins left="0.7" right="0.7" top="0.75" bottom="0.75" header="0.3" footer="0.3"/>
  <pageSetup paperSize="1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DD15C-AB98-504B-9189-324ECE02814C}">
  <sheetPr>
    <tabColor rgb="FFC00000"/>
  </sheetPr>
  <dimension ref="A1:P47"/>
  <sheetViews>
    <sheetView zoomScaleNormal="100" workbookViewId="0">
      <selection activeCell="R1" sqref="R1"/>
    </sheetView>
  </sheetViews>
  <sheetFormatPr defaultColWidth="8.81640625" defaultRowHeight="14.5" x14ac:dyDescent="0.35"/>
  <cols>
    <col min="1" max="1" width="47" style="687" customWidth="1"/>
    <col min="2" max="2" width="17.453125" style="687" customWidth="1"/>
    <col min="3" max="3" width="13.453125" style="687" bestFit="1" customWidth="1"/>
    <col min="4" max="16384" width="8.81640625" style="687"/>
  </cols>
  <sheetData>
    <row r="1" spans="1:4" ht="15" customHeight="1" x14ac:dyDescent="0.35">
      <c r="A1" s="1809" t="str">
        <f>(ghg_year&amp;" "&amp;company_name&amp;" GHG Emissions - Upstream Sources")</f>
        <v>2020 Low Carbon Brewing Company GHG Emissions - Upstream Sources</v>
      </c>
      <c r="B1" s="1810"/>
      <c r="C1" s="1812" t="s">
        <v>177</v>
      </c>
    </row>
    <row r="2" spans="1:4" ht="15" customHeight="1" x14ac:dyDescent="0.35">
      <c r="A2" s="1811"/>
      <c r="B2" s="1746"/>
      <c r="C2" s="1813"/>
      <c r="D2" s="957"/>
    </row>
    <row r="3" spans="1:4" x14ac:dyDescent="0.35">
      <c r="A3" s="1488" t="s">
        <v>155</v>
      </c>
      <c r="B3" s="1250">
        <f t="shared" ref="B3:B9" si="0">C3/$C$11</f>
        <v>0.28677360783931155</v>
      </c>
      <c r="C3" s="1483">
        <f>'Report-ScopeSummary'!E101</f>
        <v>4478644.368661575</v>
      </c>
      <c r="D3" s="1050"/>
    </row>
    <row r="4" spans="1:4" x14ac:dyDescent="0.35">
      <c r="A4" s="1479" t="s">
        <v>156</v>
      </c>
      <c r="B4" s="195">
        <f t="shared" si="0"/>
        <v>0.30052511738564908</v>
      </c>
      <c r="C4" s="1483">
        <f>'Report-ScopeSummary'!E142</f>
        <v>4693406.5333333332</v>
      </c>
      <c r="D4" s="1050"/>
    </row>
    <row r="5" spans="1:4" x14ac:dyDescent="0.35">
      <c r="A5" s="1479" t="s">
        <v>158</v>
      </c>
      <c r="B5" s="195">
        <f t="shared" si="0"/>
        <v>0.26583282542252407</v>
      </c>
      <c r="C5" s="1483">
        <f>'Report-ScopeSummary'!E124</f>
        <v>4151604.7991804667</v>
      </c>
      <c r="D5" s="1050"/>
    </row>
    <row r="6" spans="1:4" x14ac:dyDescent="0.35">
      <c r="A6" s="1479" t="s">
        <v>160</v>
      </c>
      <c r="B6" s="195">
        <f t="shared" si="0"/>
        <v>0.11045546455244451</v>
      </c>
      <c r="C6" s="1483">
        <f>'Report-ScopeSummary'!E133</f>
        <v>1725021.8666666667</v>
      </c>
      <c r="D6" s="1050"/>
    </row>
    <row r="7" spans="1:4" x14ac:dyDescent="0.35">
      <c r="A7" s="1479" t="s">
        <v>161</v>
      </c>
      <c r="B7" s="195">
        <f t="shared" si="0"/>
        <v>3.1948729438786731E-2</v>
      </c>
      <c r="C7" s="1483">
        <f>'Report-ScopeSummary'!E158</f>
        <v>498954.55256500002</v>
      </c>
      <c r="D7" s="1050"/>
    </row>
    <row r="8" spans="1:4" x14ac:dyDescent="0.35">
      <c r="A8" s="1479" t="s">
        <v>163</v>
      </c>
      <c r="B8" s="704">
        <f t="shared" si="0"/>
        <v>4.3915584989114645E-3</v>
      </c>
      <c r="C8" s="1483">
        <f>'Report-ScopeSummary'!E88</f>
        <v>68584.514764058942</v>
      </c>
      <c r="D8" s="1050"/>
    </row>
    <row r="9" spans="1:4" ht="15" thickBot="1" x14ac:dyDescent="0.4">
      <c r="A9" s="1489" t="s">
        <v>166</v>
      </c>
      <c r="B9" s="1245">
        <f t="shared" si="0"/>
        <v>7.2696862372703775E-5</v>
      </c>
      <c r="C9" s="1486">
        <f>'Report-ScopeSummary'!E79</f>
        <v>1135.3324866188877</v>
      </c>
      <c r="D9" s="1050"/>
    </row>
    <row r="10" spans="1:4" x14ac:dyDescent="0.35">
      <c r="A10" s="119"/>
      <c r="B10" s="91"/>
      <c r="C10" s="690"/>
    </row>
    <row r="11" spans="1:4" x14ac:dyDescent="0.35">
      <c r="A11" s="1814" t="s">
        <v>258</v>
      </c>
      <c r="B11" s="1814"/>
      <c r="C11" s="1485">
        <f>SUM(C3:C9)</f>
        <v>15617351.967657719</v>
      </c>
    </row>
    <row r="12" spans="1:4" x14ac:dyDescent="0.35">
      <c r="A12" s="1814" t="s">
        <v>259</v>
      </c>
      <c r="B12" s="1814"/>
      <c r="C12" s="1485">
        <f>'Report-ScopeSummary'!E164</f>
        <v>25391268.069823429</v>
      </c>
    </row>
    <row r="13" spans="1:4" x14ac:dyDescent="0.35">
      <c r="A13" s="1814" t="s">
        <v>260</v>
      </c>
      <c r="B13" s="1814"/>
      <c r="C13" s="1487">
        <f>C11/C12</f>
        <v>0.61506782271415406</v>
      </c>
    </row>
    <row r="18" spans="3:3" x14ac:dyDescent="0.35">
      <c r="C18" s="185"/>
    </row>
    <row r="27" spans="3:3" x14ac:dyDescent="0.35">
      <c r="C27" s="42"/>
    </row>
    <row r="46" spans="1:16" ht="16" thickBot="1" x14ac:dyDescent="0.4">
      <c r="A46" s="1678"/>
      <c r="B46" s="1678"/>
      <c r="C46" s="1678"/>
      <c r="D46" s="1678"/>
      <c r="E46" s="1678"/>
      <c r="F46" s="1678"/>
      <c r="G46" s="1678"/>
      <c r="H46" s="1678"/>
      <c r="I46" s="1678"/>
      <c r="J46" s="1678"/>
      <c r="K46" s="1678"/>
      <c r="L46" s="1678"/>
      <c r="M46" s="1678"/>
      <c r="N46" s="1678"/>
      <c r="O46" s="1678"/>
      <c r="P46" s="1679" t="s">
        <v>72</v>
      </c>
    </row>
    <row r="47" spans="1:16" ht="15" thickTop="1" x14ac:dyDescent="0.35">
      <c r="A47" s="87"/>
      <c r="B47" s="87"/>
      <c r="C47" s="87"/>
      <c r="D47" s="87"/>
      <c r="E47" s="87"/>
      <c r="F47" s="87"/>
      <c r="G47" s="87"/>
      <c r="H47" s="87"/>
      <c r="I47" s="87"/>
      <c r="J47" s="87"/>
      <c r="K47" s="87"/>
      <c r="L47" s="87"/>
      <c r="M47" s="87"/>
      <c r="N47" s="87"/>
      <c r="O47" s="87"/>
      <c r="P47" s="87"/>
    </row>
  </sheetData>
  <mergeCells count="5">
    <mergeCell ref="C1:C2"/>
    <mergeCell ref="A11:B11"/>
    <mergeCell ref="A12:B12"/>
    <mergeCell ref="A13:B13"/>
    <mergeCell ref="A1:B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1:R45"/>
  <sheetViews>
    <sheetView zoomScale="115" zoomScaleNormal="115" workbookViewId="0">
      <selection sqref="A1:B2"/>
    </sheetView>
  </sheetViews>
  <sheetFormatPr defaultColWidth="8.81640625" defaultRowHeight="14.5" x14ac:dyDescent="0.35"/>
  <cols>
    <col min="1" max="1" width="49.81640625" customWidth="1"/>
    <col min="2" max="2" width="16" customWidth="1"/>
    <col min="3" max="3" width="21" bestFit="1" customWidth="1"/>
  </cols>
  <sheetData>
    <row r="1" spans="1:18" ht="15" customHeight="1" x14ac:dyDescent="0.35">
      <c r="A1" s="1809" t="str">
        <f>(ghg_year&amp;" "&amp;company_name&amp;" GHG Emissions - Downstream Sources")</f>
        <v>2020 Low Carbon Brewing Company GHG Emissions - Downstream Sources</v>
      </c>
      <c r="B1" s="1810"/>
      <c r="C1" s="1812" t="s">
        <v>177</v>
      </c>
      <c r="D1" s="687"/>
      <c r="E1" s="687"/>
      <c r="F1" s="687"/>
      <c r="G1" s="687"/>
      <c r="H1" s="687"/>
      <c r="I1" s="687"/>
      <c r="J1" s="687"/>
      <c r="K1" s="687"/>
      <c r="L1" s="687"/>
      <c r="M1" s="687"/>
      <c r="N1" s="687"/>
      <c r="O1" s="687"/>
      <c r="P1" s="687"/>
      <c r="Q1" s="687"/>
      <c r="R1" s="687"/>
    </row>
    <row r="2" spans="1:18" ht="15" customHeight="1" x14ac:dyDescent="0.35">
      <c r="A2" s="1811"/>
      <c r="B2" s="1746"/>
      <c r="C2" s="1813"/>
      <c r="D2" s="957"/>
      <c r="E2" s="687"/>
      <c r="F2" s="687"/>
      <c r="G2" s="687"/>
      <c r="H2" s="687"/>
      <c r="I2" s="687"/>
      <c r="J2" s="687"/>
      <c r="K2" s="687"/>
      <c r="L2" s="687"/>
      <c r="M2" s="687"/>
      <c r="N2" s="687"/>
      <c r="O2" s="687"/>
      <c r="P2" s="687"/>
      <c r="Q2" s="687"/>
      <c r="R2" s="687"/>
    </row>
    <row r="3" spans="1:18" x14ac:dyDescent="0.35">
      <c r="A3" s="1479" t="s">
        <v>157</v>
      </c>
      <c r="B3" s="195">
        <f>C3/$C$7</f>
        <v>0.52575310742501202</v>
      </c>
      <c r="C3" s="1483">
        <f>'Report-ScopeSummary'!E76</f>
        <v>2748026.9504638552</v>
      </c>
      <c r="D3" s="1050"/>
      <c r="E3" s="687"/>
      <c r="F3" s="687"/>
      <c r="G3" s="687"/>
      <c r="H3" s="687"/>
      <c r="I3" s="687"/>
      <c r="J3" s="687"/>
      <c r="K3" s="687"/>
      <c r="L3" s="687"/>
      <c r="M3" s="687"/>
      <c r="N3" s="687"/>
      <c r="O3" s="687"/>
      <c r="P3" s="687"/>
      <c r="Q3" s="687"/>
      <c r="R3" s="687"/>
    </row>
    <row r="4" spans="1:18" x14ac:dyDescent="0.35">
      <c r="A4" s="1479" t="s">
        <v>159</v>
      </c>
      <c r="B4" s="195">
        <f>C4/$C$7</f>
        <v>0.41245639280781449</v>
      </c>
      <c r="C4" s="1483">
        <f>'Report-ScopeSummary'!E146</f>
        <v>2155843.2414755491</v>
      </c>
      <c r="D4" s="1050"/>
      <c r="E4" s="687"/>
      <c r="F4" s="687"/>
      <c r="G4" s="687"/>
      <c r="H4" s="687"/>
      <c r="I4" s="687"/>
      <c r="J4" s="687"/>
      <c r="K4" s="687"/>
      <c r="L4" s="687"/>
      <c r="M4" s="687"/>
      <c r="N4" s="687"/>
      <c r="O4" s="687"/>
      <c r="P4" s="687"/>
      <c r="Q4" s="687"/>
      <c r="R4" s="687"/>
    </row>
    <row r="5" spans="1:18" ht="15" thickBot="1" x14ac:dyDescent="0.4">
      <c r="A5" s="1489" t="s">
        <v>162</v>
      </c>
      <c r="B5" s="1246">
        <f>C5/$C$7</f>
        <v>6.1790499767173504E-2</v>
      </c>
      <c r="C5" s="1486">
        <f>'Report-ScopeSummary'!E149</f>
        <v>322969.00625935371</v>
      </c>
      <c r="D5" s="1050"/>
      <c r="E5" s="687"/>
      <c r="F5" s="687"/>
      <c r="G5" s="687"/>
      <c r="H5" s="687"/>
      <c r="I5" s="687"/>
      <c r="J5" s="687"/>
      <c r="K5" s="687"/>
      <c r="L5" s="687"/>
      <c r="M5" s="687"/>
      <c r="N5" s="687"/>
      <c r="O5" s="687"/>
      <c r="P5" s="687"/>
      <c r="Q5" s="687"/>
      <c r="R5" s="687"/>
    </row>
    <row r="6" spans="1:18" x14ac:dyDescent="0.35">
      <c r="A6" s="119"/>
      <c r="B6" s="91"/>
      <c r="C6" s="690"/>
      <c r="D6" s="687"/>
      <c r="E6" s="687"/>
      <c r="F6" s="687"/>
      <c r="G6" s="687"/>
      <c r="H6" s="687"/>
      <c r="I6" s="687"/>
      <c r="J6" s="687"/>
      <c r="K6" s="687"/>
      <c r="L6" s="687"/>
      <c r="M6" s="687"/>
      <c r="N6" s="687"/>
      <c r="O6" s="687"/>
      <c r="P6" s="687"/>
      <c r="Q6" s="687"/>
      <c r="R6" s="687"/>
    </row>
    <row r="7" spans="1:18" x14ac:dyDescent="0.35">
      <c r="A7" s="1814" t="s">
        <v>261</v>
      </c>
      <c r="B7" s="1814"/>
      <c r="C7" s="1485">
        <f>SUM(C3:C5)</f>
        <v>5226839.1981987581</v>
      </c>
      <c r="D7" s="687"/>
      <c r="E7" s="687"/>
      <c r="F7" s="687"/>
      <c r="G7" s="687"/>
      <c r="H7" s="687"/>
      <c r="I7" s="687"/>
      <c r="J7" s="687"/>
      <c r="K7" s="687"/>
      <c r="L7" s="687"/>
      <c r="M7" s="687"/>
      <c r="N7" s="687"/>
      <c r="O7" s="687"/>
      <c r="P7" s="687"/>
      <c r="Q7" s="687"/>
      <c r="R7" s="687"/>
    </row>
    <row r="8" spans="1:18" x14ac:dyDescent="0.35">
      <c r="A8" s="1814" t="s">
        <v>256</v>
      </c>
      <c r="B8" s="1814"/>
      <c r="C8" s="1485">
        <f>'Report-ScopeSummary'!E164</f>
        <v>25391268.069823429</v>
      </c>
      <c r="D8" s="687"/>
      <c r="E8" s="687"/>
      <c r="F8" s="687"/>
      <c r="G8" s="687"/>
      <c r="H8" s="687"/>
      <c r="I8" s="687"/>
      <c r="J8" s="687"/>
      <c r="K8" s="687"/>
      <c r="L8" s="687"/>
      <c r="M8" s="687"/>
      <c r="N8" s="687"/>
      <c r="O8" s="687"/>
      <c r="P8" s="687"/>
      <c r="Q8" s="687"/>
      <c r="R8" s="687"/>
    </row>
    <row r="9" spans="1:18" x14ac:dyDescent="0.35">
      <c r="A9" s="1814" t="s">
        <v>262</v>
      </c>
      <c r="B9" s="1814"/>
      <c r="C9" s="640">
        <f>C7/C8</f>
        <v>0.20585183787692196</v>
      </c>
      <c r="D9" s="687"/>
      <c r="E9" s="687"/>
      <c r="F9" s="687"/>
      <c r="G9" s="687"/>
      <c r="H9" s="687"/>
      <c r="I9" s="687"/>
      <c r="J9" s="687"/>
      <c r="K9" s="687"/>
      <c r="L9" s="687"/>
      <c r="M9" s="687"/>
      <c r="N9" s="687"/>
      <c r="O9" s="687"/>
      <c r="P9" s="687"/>
      <c r="Q9" s="687"/>
      <c r="R9" s="687"/>
    </row>
    <row r="32" s="687" customFormat="1" x14ac:dyDescent="0.35"/>
    <row r="33" spans="1:16" s="687" customFormat="1" x14ac:dyDescent="0.35"/>
    <row r="34" spans="1:16" s="687" customFormat="1" x14ac:dyDescent="0.35"/>
    <row r="35" spans="1:16" s="687" customFormat="1" x14ac:dyDescent="0.35"/>
    <row r="36" spans="1:16" s="687" customFormat="1" x14ac:dyDescent="0.35"/>
    <row r="37" spans="1:16" s="687" customFormat="1" x14ac:dyDescent="0.35"/>
    <row r="38" spans="1:16" s="687" customFormat="1" x14ac:dyDescent="0.35"/>
    <row r="39" spans="1:16" s="687" customFormat="1" x14ac:dyDescent="0.35"/>
    <row r="40" spans="1:16" s="687" customFormat="1" x14ac:dyDescent="0.35"/>
    <row r="43" spans="1:16" x14ac:dyDescent="0.35">
      <c r="A43" s="688"/>
      <c r="B43" s="687"/>
      <c r="C43" s="687"/>
      <c r="D43" s="687"/>
      <c r="E43" s="687"/>
      <c r="F43" s="687"/>
      <c r="G43" s="687"/>
      <c r="H43" s="687"/>
      <c r="I43" s="687"/>
      <c r="J43" s="687"/>
      <c r="K43" s="687"/>
      <c r="L43" s="687"/>
      <c r="M43" s="687"/>
      <c r="N43" s="687"/>
      <c r="O43" s="687"/>
      <c r="P43" s="687"/>
    </row>
    <row r="44" spans="1:16" ht="16" thickBot="1" x14ac:dyDescent="0.4">
      <c r="A44" s="1678"/>
      <c r="B44" s="1678"/>
      <c r="C44" s="1678"/>
      <c r="D44" s="1678"/>
      <c r="E44" s="1678"/>
      <c r="F44" s="1678"/>
      <c r="G44" s="1678"/>
      <c r="H44" s="1678"/>
      <c r="I44" s="1678"/>
      <c r="J44" s="1678"/>
      <c r="K44" s="1678"/>
      <c r="L44" s="1678"/>
      <c r="M44" s="1678"/>
      <c r="N44" s="1678"/>
      <c r="O44" s="1678"/>
      <c r="P44" s="1679" t="s">
        <v>72</v>
      </c>
    </row>
    <row r="45" spans="1:16" ht="15" thickTop="1" x14ac:dyDescent="0.35">
      <c r="A45" s="87"/>
      <c r="B45" s="87"/>
      <c r="C45" s="87"/>
      <c r="D45" s="87"/>
      <c r="E45" s="87"/>
      <c r="F45" s="87"/>
      <c r="G45" s="87"/>
      <c r="H45" s="87"/>
      <c r="I45" s="87"/>
      <c r="J45" s="87"/>
      <c r="K45" s="87"/>
      <c r="L45" s="87"/>
      <c r="M45" s="87"/>
      <c r="N45" s="87"/>
      <c r="O45" s="87"/>
      <c r="P45" s="87"/>
    </row>
  </sheetData>
  <mergeCells count="5">
    <mergeCell ref="C1:C2"/>
    <mergeCell ref="A7:B7"/>
    <mergeCell ref="A8:B8"/>
    <mergeCell ref="A9:B9"/>
    <mergeCell ref="A1:B2"/>
  </mergeCells>
  <pageMargins left="0.7" right="0.7" top="0.75" bottom="0.75" header="0.3" footer="0.3"/>
  <pageSetup paperSize="11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sheetPr>
  <dimension ref="A1:AA142"/>
  <sheetViews>
    <sheetView zoomScaleNormal="100" workbookViewId="0">
      <selection activeCell="B8" sqref="B8"/>
    </sheetView>
  </sheetViews>
  <sheetFormatPr defaultColWidth="8.81640625" defaultRowHeight="14.5" x14ac:dyDescent="0.35"/>
  <cols>
    <col min="1" max="1" width="27.7265625" customWidth="1"/>
    <col min="2" max="2" width="21.1796875" customWidth="1"/>
    <col min="3" max="3" width="13.453125" customWidth="1"/>
    <col min="4" max="4" width="21.453125" customWidth="1"/>
    <col min="5" max="5" width="17.453125" customWidth="1"/>
    <col min="6" max="6" width="12.26953125" bestFit="1" customWidth="1"/>
    <col min="7" max="7" width="26.7265625" customWidth="1"/>
    <col min="8" max="8" width="16.7265625" customWidth="1"/>
    <col min="9" max="9" width="8.453125" customWidth="1"/>
    <col min="10" max="10" width="15.1796875" customWidth="1"/>
    <col min="11" max="11" width="13.26953125" customWidth="1"/>
    <col min="12" max="12" width="11.81640625" customWidth="1"/>
    <col min="13" max="13" width="12" customWidth="1"/>
    <col min="14" max="14" width="10.1796875" customWidth="1"/>
    <col min="15" max="15" width="10.26953125" customWidth="1"/>
    <col min="16" max="16" width="11.7265625" customWidth="1"/>
    <col min="17" max="17" width="11.81640625" bestFit="1" customWidth="1"/>
    <col min="18" max="18" width="11.453125" customWidth="1"/>
    <col min="19" max="19" width="12.26953125" customWidth="1"/>
    <col min="20" max="20" width="12.453125" customWidth="1"/>
    <col min="22" max="22" width="11" bestFit="1" customWidth="1"/>
    <col min="23" max="23" width="11.26953125" customWidth="1"/>
    <col min="24" max="25" width="11" bestFit="1" customWidth="1"/>
    <col min="26" max="26" width="10.7265625" bestFit="1" customWidth="1"/>
  </cols>
  <sheetData>
    <row r="1" spans="1:27" s="72" customFormat="1" ht="21.5" thickBot="1" x14ac:dyDescent="0.55000000000000004">
      <c r="A1" s="1833" t="s">
        <v>263</v>
      </c>
      <c r="B1" s="1834"/>
      <c r="C1" s="1834"/>
      <c r="D1" s="1834"/>
      <c r="E1" s="1834"/>
      <c r="F1" s="1834"/>
      <c r="G1" s="1834"/>
      <c r="H1" s="1834"/>
      <c r="I1" s="1834"/>
      <c r="J1" s="1834"/>
      <c r="K1" s="1834"/>
      <c r="L1" s="1834"/>
      <c r="M1" s="1834"/>
      <c r="N1" s="1835"/>
      <c r="R1" s="687"/>
    </row>
    <row r="2" spans="1:27" x14ac:dyDescent="0.35">
      <c r="A2" s="44"/>
      <c r="B2" s="44"/>
      <c r="C2" s="44"/>
      <c r="D2" s="44"/>
      <c r="E2" s="44"/>
      <c r="F2" s="1550" t="s">
        <v>264</v>
      </c>
      <c r="G2" s="44"/>
      <c r="H2" s="44"/>
      <c r="I2" s="44"/>
      <c r="J2" s="687"/>
      <c r="K2" s="44"/>
      <c r="L2" s="44"/>
      <c r="M2" s="44"/>
      <c r="N2" s="44"/>
      <c r="O2" s="44"/>
      <c r="P2" s="44"/>
      <c r="Q2" s="44"/>
      <c r="R2" s="687"/>
      <c r="S2" s="44"/>
      <c r="T2" s="687"/>
      <c r="U2" s="44"/>
      <c r="V2" s="44"/>
      <c r="W2" s="44"/>
      <c r="X2" s="44"/>
      <c r="Y2" s="44"/>
      <c r="Z2" s="687"/>
      <c r="AA2" s="687"/>
    </row>
    <row r="3" spans="1:27" ht="14.5" customHeight="1" x14ac:dyDescent="0.35">
      <c r="A3" s="1548" t="s">
        <v>265</v>
      </c>
      <c r="B3" s="1617" t="s">
        <v>266</v>
      </c>
      <c r="C3" s="1553"/>
      <c r="D3" s="1553"/>
      <c r="E3" s="1549"/>
      <c r="F3" s="1838" t="s">
        <v>267</v>
      </c>
      <c r="G3" s="1838"/>
      <c r="H3" s="1838"/>
      <c r="I3" s="1838"/>
      <c r="J3" s="1838"/>
      <c r="K3" s="1838"/>
      <c r="L3" s="1838"/>
      <c r="M3" s="1838"/>
      <c r="N3" s="1838"/>
      <c r="O3" s="44"/>
      <c r="P3" s="44"/>
      <c r="Q3" s="44"/>
      <c r="R3" s="44"/>
      <c r="S3" s="44"/>
      <c r="T3" s="687"/>
      <c r="U3" s="44"/>
      <c r="V3" s="44"/>
      <c r="W3" s="44"/>
      <c r="X3" s="44"/>
      <c r="Y3" s="44"/>
      <c r="Z3" s="687"/>
      <c r="AA3" s="687"/>
    </row>
    <row r="4" spans="1:27" x14ac:dyDescent="0.35">
      <c r="A4" s="1667" t="s">
        <v>268</v>
      </c>
      <c r="B4" s="44"/>
      <c r="C4" s="44"/>
      <c r="D4" s="44"/>
      <c r="E4" s="44"/>
      <c r="F4" s="1838"/>
      <c r="G4" s="1838"/>
      <c r="H4" s="1838"/>
      <c r="I4" s="1838"/>
      <c r="J4" s="1838"/>
      <c r="K4" s="1838"/>
      <c r="L4" s="1838"/>
      <c r="M4" s="1838"/>
      <c r="N4" s="1838"/>
      <c r="O4" s="44"/>
      <c r="P4" s="44"/>
      <c r="Q4" s="44"/>
      <c r="R4" s="44"/>
      <c r="S4" s="44"/>
      <c r="T4" s="687"/>
      <c r="U4" s="44"/>
      <c r="V4" s="44"/>
      <c r="W4" s="44"/>
      <c r="X4" s="44"/>
      <c r="Y4" s="44"/>
      <c r="Z4" s="687"/>
      <c r="AA4" s="687"/>
    </row>
    <row r="5" spans="1:27" s="87" customFormat="1" x14ac:dyDescent="0.35">
      <c r="A5" s="330"/>
      <c r="B5" s="166"/>
      <c r="C5" s="166"/>
      <c r="D5" s="166"/>
      <c r="E5" s="166"/>
      <c r="F5" s="166"/>
      <c r="G5" s="166"/>
      <c r="H5" s="166"/>
      <c r="I5" s="166"/>
      <c r="J5" s="166"/>
      <c r="K5" s="164"/>
      <c r="L5" s="164"/>
      <c r="M5" s="164"/>
      <c r="N5" s="164"/>
      <c r="O5" s="164"/>
      <c r="P5" s="164"/>
      <c r="Q5" s="164"/>
      <c r="R5" s="164"/>
      <c r="S5" s="164"/>
      <c r="T5" s="164"/>
      <c r="U5" s="164"/>
      <c r="V5" s="166"/>
      <c r="W5" s="166"/>
      <c r="X5" s="166"/>
      <c r="Y5" s="166"/>
      <c r="Z5" s="166"/>
      <c r="AA5" s="166"/>
    </row>
    <row r="6" spans="1:27" ht="15" thickBot="1" x14ac:dyDescent="0.4">
      <c r="A6" s="1836" t="str">
        <f>("Control Data "&amp;brew1_abb&amp;" - "&amp;ghg_year)</f>
        <v>Control Data MAIN - 2020</v>
      </c>
      <c r="B6" s="1837"/>
      <c r="C6" s="687"/>
      <c r="D6" s="1836" t="str">
        <f>("Control Data "&amp;brew2_abb&amp;" - "&amp;ghg_year)</f>
        <v>Control Data 2ND - 2020</v>
      </c>
      <c r="E6" s="1837"/>
      <c r="F6" s="214"/>
      <c r="G6" s="1836" t="str">
        <f>("Control Data ALL - "&amp;ghg_year)</f>
        <v>Control Data ALL - 2020</v>
      </c>
      <c r="H6" s="1837"/>
      <c r="I6" s="687"/>
      <c r="J6" s="749" t="s">
        <v>269</v>
      </c>
      <c r="K6" s="751"/>
      <c r="L6" s="751"/>
      <c r="M6" s="751"/>
      <c r="N6" s="750"/>
      <c r="O6" s="687"/>
      <c r="P6" s="687"/>
      <c r="Q6" s="687"/>
      <c r="R6" s="687"/>
      <c r="S6" s="687"/>
      <c r="T6" s="687"/>
      <c r="U6" s="687"/>
      <c r="V6" s="687"/>
      <c r="W6" s="687"/>
      <c r="X6" s="687"/>
      <c r="Y6" s="687"/>
      <c r="Z6" s="687"/>
      <c r="AA6" s="687"/>
    </row>
    <row r="7" spans="1:27" x14ac:dyDescent="0.35">
      <c r="A7" s="204" t="s">
        <v>270</v>
      </c>
      <c r="B7" s="332">
        <f>B8*L35</f>
        <v>140817.31836</v>
      </c>
      <c r="C7" s="687"/>
      <c r="D7" s="204" t="s">
        <v>270</v>
      </c>
      <c r="E7" s="332">
        <f>E8*L35</f>
        <v>82143.435709999991</v>
      </c>
      <c r="F7" s="214"/>
      <c r="G7" s="204" t="s">
        <v>270</v>
      </c>
      <c r="H7" s="332">
        <f>B7+E7</f>
        <v>222960.75407</v>
      </c>
      <c r="I7" s="687"/>
      <c r="J7" s="449" t="s">
        <v>271</v>
      </c>
      <c r="K7" s="43"/>
      <c r="L7" s="43"/>
      <c r="M7" s="43"/>
      <c r="N7" s="340"/>
      <c r="O7" s="687"/>
      <c r="P7" s="687"/>
      <c r="Q7" s="687"/>
      <c r="R7" s="687"/>
      <c r="S7" s="687"/>
      <c r="T7" s="687"/>
      <c r="U7" s="687"/>
      <c r="V7" s="687"/>
      <c r="W7" s="687"/>
      <c r="X7" s="687"/>
      <c r="Y7" s="687"/>
      <c r="Z7" s="687"/>
      <c r="AA7" s="687"/>
    </row>
    <row r="8" spans="1:27" x14ac:dyDescent="0.35">
      <c r="A8" s="204" t="s">
        <v>272</v>
      </c>
      <c r="B8" s="331">
        <v>120000</v>
      </c>
      <c r="C8" s="687"/>
      <c r="D8" s="204" t="s">
        <v>272</v>
      </c>
      <c r="E8" s="331">
        <v>70000</v>
      </c>
      <c r="F8" s="214"/>
      <c r="G8" s="204" t="s">
        <v>272</v>
      </c>
      <c r="H8" s="332">
        <f>B8+E8</f>
        <v>190000</v>
      </c>
      <c r="I8" s="687"/>
      <c r="J8" s="1536">
        <v>31</v>
      </c>
      <c r="K8" s="43" t="s">
        <v>273</v>
      </c>
      <c r="L8" s="43" t="s">
        <v>274</v>
      </c>
      <c r="M8" s="43"/>
      <c r="N8" s="340"/>
      <c r="O8" s="687"/>
      <c r="P8" s="687"/>
      <c r="Q8" s="687"/>
      <c r="R8" s="687"/>
      <c r="S8" s="687"/>
      <c r="T8" s="687"/>
      <c r="U8" s="687"/>
      <c r="V8" s="687"/>
      <c r="W8" s="687"/>
      <c r="X8" s="687"/>
      <c r="Y8" s="687"/>
      <c r="Z8" s="687"/>
      <c r="AA8" s="687"/>
    </row>
    <row r="9" spans="1:27" x14ac:dyDescent="0.35">
      <c r="A9" s="204"/>
      <c r="B9" s="332"/>
      <c r="C9" s="687"/>
      <c r="D9" s="204"/>
      <c r="E9" s="332"/>
      <c r="F9" s="214"/>
      <c r="G9" s="204"/>
      <c r="H9" s="332"/>
      <c r="I9" s="687"/>
      <c r="J9" s="234">
        <f>J8*L29</f>
        <v>3968</v>
      </c>
      <c r="K9" s="43" t="s">
        <v>275</v>
      </c>
      <c r="L9" s="43" t="s">
        <v>274</v>
      </c>
      <c r="M9" s="43"/>
      <c r="N9" s="340"/>
      <c r="O9" s="687"/>
      <c r="P9" s="687"/>
      <c r="Q9" s="687"/>
      <c r="R9" s="687"/>
      <c r="S9" s="687"/>
      <c r="T9" s="687"/>
      <c r="U9" s="687"/>
      <c r="V9" s="687"/>
      <c r="W9" s="687"/>
      <c r="X9" s="687"/>
      <c r="Y9" s="687"/>
      <c r="Z9" s="687"/>
      <c r="AA9" s="687"/>
    </row>
    <row r="10" spans="1:27" x14ac:dyDescent="0.35">
      <c r="A10" s="204" t="s">
        <v>276</v>
      </c>
      <c r="B10" s="332">
        <f>B11*L35</f>
        <v>123215.153565</v>
      </c>
      <c r="C10" s="687"/>
      <c r="D10" s="204" t="s">
        <v>276</v>
      </c>
      <c r="E10" s="332">
        <f>E11*L35</f>
        <v>88010.823974999992</v>
      </c>
      <c r="F10" s="214"/>
      <c r="G10" s="204" t="s">
        <v>276</v>
      </c>
      <c r="H10" s="332">
        <f>B10+E10</f>
        <v>211225.97753999999</v>
      </c>
      <c r="I10" s="687"/>
      <c r="J10" s="358">
        <f>J15*2</f>
        <v>321</v>
      </c>
      <c r="K10" s="214" t="s">
        <v>187</v>
      </c>
      <c r="L10" s="214" t="s">
        <v>277</v>
      </c>
      <c r="M10" s="214"/>
      <c r="N10" s="340"/>
      <c r="O10" s="687"/>
      <c r="P10" s="687"/>
      <c r="Q10" s="687"/>
      <c r="R10" s="687"/>
      <c r="S10" s="687"/>
      <c r="T10" s="687"/>
      <c r="U10" s="687"/>
      <c r="V10" s="687"/>
      <c r="W10" s="687"/>
      <c r="X10" s="687"/>
      <c r="Y10" s="687"/>
      <c r="Z10" s="687"/>
      <c r="AA10" s="687"/>
    </row>
    <row r="11" spans="1:27" x14ac:dyDescent="0.35">
      <c r="A11" s="204" t="s">
        <v>278</v>
      </c>
      <c r="B11" s="331">
        <v>105000</v>
      </c>
      <c r="C11" s="687"/>
      <c r="D11" s="204" t="s">
        <v>278</v>
      </c>
      <c r="E11" s="331">
        <v>75000</v>
      </c>
      <c r="F11" s="214"/>
      <c r="G11" s="204" t="s">
        <v>278</v>
      </c>
      <c r="H11" s="332">
        <f>B11+E11</f>
        <v>180000</v>
      </c>
      <c r="I11" s="687"/>
      <c r="J11" s="356">
        <f>J16*2</f>
        <v>145.60303199999998</v>
      </c>
      <c r="K11" s="76" t="s">
        <v>181</v>
      </c>
      <c r="L11" s="76" t="s">
        <v>277</v>
      </c>
      <c r="M11" s="76"/>
      <c r="N11" s="361"/>
      <c r="O11" s="687"/>
      <c r="P11" s="687"/>
      <c r="Q11" s="687"/>
      <c r="R11" s="687"/>
      <c r="S11" s="687"/>
      <c r="T11" s="687"/>
      <c r="U11" s="687"/>
      <c r="V11" s="687"/>
      <c r="W11" s="687"/>
      <c r="X11" s="687"/>
      <c r="Y11" s="687"/>
      <c r="Z11" s="687"/>
      <c r="AA11" s="687"/>
    </row>
    <row r="12" spans="1:27" x14ac:dyDescent="0.35">
      <c r="A12" s="204"/>
      <c r="B12" s="332"/>
      <c r="C12" s="687"/>
      <c r="D12" s="204"/>
      <c r="E12" s="332"/>
      <c r="F12" s="214"/>
      <c r="G12" s="204"/>
      <c r="H12" s="332"/>
      <c r="I12" s="687"/>
      <c r="J12" s="234"/>
      <c r="K12" s="43"/>
      <c r="L12" s="43"/>
      <c r="M12" s="43"/>
      <c r="N12" s="340"/>
      <c r="O12" s="687"/>
      <c r="P12" s="687"/>
      <c r="Q12" s="687"/>
      <c r="R12" s="687"/>
      <c r="S12" s="687"/>
      <c r="T12" s="687"/>
      <c r="U12" s="687"/>
      <c r="V12" s="687"/>
      <c r="W12" s="687"/>
      <c r="X12" s="687"/>
      <c r="Y12" s="687"/>
      <c r="Z12" s="687"/>
      <c r="AA12" s="687"/>
    </row>
    <row r="13" spans="1:27" x14ac:dyDescent="0.35">
      <c r="A13" s="204" t="s">
        <v>279</v>
      </c>
      <c r="B13" s="332">
        <f>B14*L35</f>
        <v>41071.717854999995</v>
      </c>
      <c r="C13" s="687"/>
      <c r="D13" s="204" t="s">
        <v>279</v>
      </c>
      <c r="E13" s="332">
        <f>E14*L35</f>
        <v>23469.553059999998</v>
      </c>
      <c r="F13" s="214"/>
      <c r="G13" s="204" t="s">
        <v>279</v>
      </c>
      <c r="H13" s="332">
        <f>B13+E13</f>
        <v>64541.270914999994</v>
      </c>
      <c r="I13" s="687"/>
      <c r="J13" s="448" t="s">
        <v>280</v>
      </c>
      <c r="K13" s="338"/>
      <c r="L13" s="338"/>
      <c r="M13" s="338"/>
      <c r="N13" s="362"/>
      <c r="O13" s="687"/>
      <c r="P13" s="448" t="s">
        <v>281</v>
      </c>
      <c r="Q13" s="188"/>
      <c r="R13" s="188"/>
      <c r="S13" s="188"/>
      <c r="T13" s="680"/>
      <c r="U13" s="687"/>
      <c r="V13" s="687"/>
      <c r="W13" s="687"/>
      <c r="X13" s="687"/>
      <c r="Y13" s="687"/>
      <c r="Z13" s="687"/>
      <c r="AA13" s="687"/>
    </row>
    <row r="14" spans="1:27" x14ac:dyDescent="0.35">
      <c r="A14" s="204" t="s">
        <v>282</v>
      </c>
      <c r="B14" s="331">
        <v>35000</v>
      </c>
      <c r="C14" s="687"/>
      <c r="D14" s="204" t="s">
        <v>282</v>
      </c>
      <c r="E14" s="331">
        <v>20000</v>
      </c>
      <c r="F14" s="1133"/>
      <c r="G14" s="204" t="s">
        <v>282</v>
      </c>
      <c r="H14" s="332">
        <f>B14+E14</f>
        <v>55000</v>
      </c>
      <c r="I14" s="687"/>
      <c r="J14" s="1536">
        <v>29.7</v>
      </c>
      <c r="K14" s="43" t="s">
        <v>187</v>
      </c>
      <c r="L14" s="43" t="s">
        <v>283</v>
      </c>
      <c r="M14" s="43"/>
      <c r="N14" s="340"/>
      <c r="O14" s="687"/>
      <c r="P14" s="1538">
        <v>8.34</v>
      </c>
      <c r="Q14" s="687" t="s">
        <v>284</v>
      </c>
      <c r="R14" s="43" t="s">
        <v>285</v>
      </c>
      <c r="S14" s="687"/>
      <c r="T14" s="681"/>
      <c r="U14" s="687"/>
      <c r="V14" s="687"/>
      <c r="W14" s="687"/>
      <c r="X14" s="687"/>
      <c r="Y14" s="687"/>
      <c r="Z14" s="687"/>
      <c r="AA14" s="687"/>
    </row>
    <row r="15" spans="1:27" x14ac:dyDescent="0.35">
      <c r="A15" s="204"/>
      <c r="B15" s="1134"/>
      <c r="C15" s="687"/>
      <c r="D15" s="204"/>
      <c r="E15" s="1134"/>
      <c r="F15" s="214"/>
      <c r="G15" s="204"/>
      <c r="H15" s="682"/>
      <c r="I15" s="687"/>
      <c r="J15" s="1536">
        <v>160.5</v>
      </c>
      <c r="K15" s="43" t="s">
        <v>187</v>
      </c>
      <c r="L15" s="43" t="s">
        <v>286</v>
      </c>
      <c r="M15" s="43"/>
      <c r="N15" s="340"/>
      <c r="O15" s="687"/>
      <c r="P15" s="1538">
        <v>8.8239999999999998</v>
      </c>
      <c r="Q15" s="687" t="s">
        <v>284</v>
      </c>
      <c r="R15" s="43" t="s">
        <v>287</v>
      </c>
      <c r="S15" s="687"/>
      <c r="T15" s="681"/>
      <c r="U15" s="687"/>
      <c r="V15" s="687"/>
      <c r="W15" s="687"/>
      <c r="X15" s="687"/>
      <c r="Y15" s="687"/>
      <c r="Z15" s="687"/>
      <c r="AA15" s="687"/>
    </row>
    <row r="16" spans="1:27" x14ac:dyDescent="0.35">
      <c r="A16" s="204" t="s">
        <v>288</v>
      </c>
      <c r="B16" s="332">
        <f>B17*L35</f>
        <v>11734.776529999999</v>
      </c>
      <c r="C16" s="687"/>
      <c r="D16" s="204" t="s">
        <v>288</v>
      </c>
      <c r="E16" s="332">
        <f>E17*L35</f>
        <v>5867.3882649999996</v>
      </c>
      <c r="F16" s="98"/>
      <c r="G16" s="204" t="s">
        <v>288</v>
      </c>
      <c r="H16" s="332">
        <f>B16+E16</f>
        <v>17602.164794999997</v>
      </c>
      <c r="I16" s="687"/>
      <c r="J16" s="357">
        <f>J15*L30</f>
        <v>72.801515999999992</v>
      </c>
      <c r="K16" s="43" t="s">
        <v>181</v>
      </c>
      <c r="L16" s="43" t="s">
        <v>286</v>
      </c>
      <c r="M16" s="43"/>
      <c r="N16" s="340"/>
      <c r="O16" s="687"/>
      <c r="P16" s="1375">
        <f>P15/L29</f>
        <v>6.8937499999999999E-2</v>
      </c>
      <c r="Q16" s="163" t="s">
        <v>289</v>
      </c>
      <c r="R16" s="76" t="s">
        <v>290</v>
      </c>
      <c r="S16" s="163"/>
      <c r="T16" s="179"/>
      <c r="U16" s="687"/>
      <c r="V16" s="687"/>
      <c r="W16" s="687"/>
      <c r="X16" s="687"/>
      <c r="Y16" s="687"/>
      <c r="Z16" s="687"/>
      <c r="AA16" s="687"/>
    </row>
    <row r="17" spans="1:27" x14ac:dyDescent="0.35">
      <c r="A17" s="204" t="s">
        <v>291</v>
      </c>
      <c r="B17" s="331">
        <v>10000</v>
      </c>
      <c r="C17" s="687"/>
      <c r="D17" s="204" t="s">
        <v>291</v>
      </c>
      <c r="E17" s="331">
        <v>5000</v>
      </c>
      <c r="F17" s="98"/>
      <c r="G17" s="204" t="s">
        <v>291</v>
      </c>
      <c r="H17" s="332">
        <f>B17+E17</f>
        <v>15000</v>
      </c>
      <c r="I17" s="687"/>
      <c r="J17" s="1537">
        <v>130.80000000000001</v>
      </c>
      <c r="K17" s="76" t="s">
        <v>187</v>
      </c>
      <c r="L17" s="76" t="s">
        <v>292</v>
      </c>
      <c r="M17" s="76"/>
      <c r="N17" s="361"/>
      <c r="O17" s="687"/>
      <c r="P17" s="194">
        <f>P16*(12*24)</f>
        <v>19.853999999999999</v>
      </c>
      <c r="Q17" s="687" t="s">
        <v>187</v>
      </c>
      <c r="R17" s="43" t="s">
        <v>293</v>
      </c>
      <c r="S17" s="687"/>
      <c r="T17" s="681"/>
      <c r="U17" s="687"/>
      <c r="V17" s="687"/>
      <c r="W17" s="687"/>
      <c r="X17" s="687"/>
      <c r="Y17" s="687"/>
      <c r="Z17" s="687"/>
      <c r="AA17" s="687"/>
    </row>
    <row r="18" spans="1:27" x14ac:dyDescent="0.35">
      <c r="A18" s="204"/>
      <c r="B18" s="1134"/>
      <c r="C18" s="687"/>
      <c r="D18" s="204"/>
      <c r="E18" s="1134"/>
      <c r="F18" s="44"/>
      <c r="G18" s="204"/>
      <c r="H18" s="682"/>
      <c r="I18" s="687"/>
      <c r="J18" s="356"/>
      <c r="K18" s="76"/>
      <c r="L18" s="76"/>
      <c r="M18" s="76"/>
      <c r="N18" s="361"/>
      <c r="O18" s="44"/>
      <c r="P18" s="194">
        <f>P16*(16*24)</f>
        <v>26.472000000000001</v>
      </c>
      <c r="Q18" s="687" t="s">
        <v>187</v>
      </c>
      <c r="R18" s="43" t="s">
        <v>294</v>
      </c>
      <c r="S18" s="44"/>
      <c r="T18" s="339"/>
      <c r="U18" s="44"/>
      <c r="V18" s="44"/>
      <c r="W18" s="44"/>
      <c r="X18" s="44"/>
      <c r="Y18" s="44"/>
      <c r="Z18" s="44"/>
      <c r="AA18" s="44"/>
    </row>
    <row r="19" spans="1:27" x14ac:dyDescent="0.35">
      <c r="A19" s="204" t="s">
        <v>295</v>
      </c>
      <c r="B19" s="332">
        <f>B20*L35</f>
        <v>70408.659180000002</v>
      </c>
      <c r="C19" s="687"/>
      <c r="D19" s="204" t="s">
        <v>295</v>
      </c>
      <c r="E19" s="332">
        <f>E20*L35</f>
        <v>58673.88265</v>
      </c>
      <c r="F19" s="214"/>
      <c r="G19" s="204" t="s">
        <v>295</v>
      </c>
      <c r="H19" s="332">
        <f>B19+E19</f>
        <v>129082.54183</v>
      </c>
      <c r="I19" s="687"/>
      <c r="J19" s="448" t="s">
        <v>296</v>
      </c>
      <c r="K19" s="338"/>
      <c r="L19" s="338"/>
      <c r="M19" s="338"/>
      <c r="N19" s="362"/>
      <c r="O19" s="687"/>
      <c r="P19" s="1375">
        <f>P16*(19.2*15)</f>
        <v>19.853999999999999</v>
      </c>
      <c r="Q19" s="163" t="s">
        <v>187</v>
      </c>
      <c r="R19" s="76" t="s">
        <v>297</v>
      </c>
      <c r="S19" s="163"/>
      <c r="T19" s="179"/>
      <c r="U19" s="687"/>
      <c r="V19" s="687"/>
      <c r="W19" s="687"/>
      <c r="X19" s="687"/>
      <c r="Y19" s="687"/>
      <c r="Z19" s="687"/>
      <c r="AA19" s="687"/>
    </row>
    <row r="20" spans="1:27" x14ac:dyDescent="0.35">
      <c r="A20" s="204" t="s">
        <v>298</v>
      </c>
      <c r="B20" s="331">
        <v>60000</v>
      </c>
      <c r="C20" s="687"/>
      <c r="D20" s="204" t="s">
        <v>298</v>
      </c>
      <c r="E20" s="331">
        <v>50000</v>
      </c>
      <c r="F20" s="214"/>
      <c r="G20" s="204" t="s">
        <v>298</v>
      </c>
      <c r="H20" s="332">
        <f>B20+E20</f>
        <v>110000</v>
      </c>
      <c r="I20" s="687"/>
      <c r="J20" s="357">
        <f>J9/J33</f>
        <v>13.777777777777779</v>
      </c>
      <c r="K20" s="326"/>
      <c r="L20" s="43" t="s">
        <v>299</v>
      </c>
      <c r="M20" s="43"/>
      <c r="N20" s="340"/>
      <c r="O20" s="687"/>
      <c r="P20" s="194">
        <f>B61</f>
        <v>0.43099999999999999</v>
      </c>
      <c r="Q20" s="687" t="s">
        <v>187</v>
      </c>
      <c r="R20" s="43" t="s">
        <v>300</v>
      </c>
      <c r="S20" s="687"/>
      <c r="T20" s="681"/>
      <c r="U20" s="687"/>
      <c r="V20" s="687"/>
      <c r="W20" s="687"/>
      <c r="X20" s="687"/>
      <c r="Y20" s="687"/>
      <c r="Z20" s="687"/>
      <c r="AA20" s="687"/>
    </row>
    <row r="21" spans="1:27" x14ac:dyDescent="0.35">
      <c r="A21" s="204"/>
      <c r="B21" s="681"/>
      <c r="C21" s="687"/>
      <c r="D21" s="204"/>
      <c r="E21" s="681"/>
      <c r="F21" s="214"/>
      <c r="G21" s="204"/>
      <c r="H21" s="682"/>
      <c r="I21" s="687"/>
      <c r="J21" s="357">
        <f>J9/J34</f>
        <v>55.111111111111114</v>
      </c>
      <c r="K21" s="326"/>
      <c r="L21" s="43" t="s">
        <v>301</v>
      </c>
      <c r="M21" s="43"/>
      <c r="N21" s="340"/>
      <c r="O21" s="687"/>
      <c r="P21" s="1276">
        <f>B63</f>
        <v>2.929E-2</v>
      </c>
      <c r="Q21" s="687" t="s">
        <v>187</v>
      </c>
      <c r="R21" s="43" t="s">
        <v>302</v>
      </c>
      <c r="S21" s="687"/>
      <c r="T21" s="681"/>
      <c r="U21" s="687"/>
      <c r="V21" s="687"/>
      <c r="W21" s="687"/>
      <c r="X21" s="687"/>
      <c r="Y21" s="687"/>
      <c r="Z21" s="687"/>
      <c r="AA21" s="687"/>
    </row>
    <row r="22" spans="1:27" x14ac:dyDescent="0.35">
      <c r="A22" s="204" t="s">
        <v>303</v>
      </c>
      <c r="B22" s="332">
        <f>B23*L35</f>
        <v>117347.7653</v>
      </c>
      <c r="C22" s="687"/>
      <c r="D22" s="204" t="s">
        <v>303</v>
      </c>
      <c r="E22" s="332">
        <f>E23*L35</f>
        <v>84490.391015999994</v>
      </c>
      <c r="F22" s="214"/>
      <c r="G22" s="204" t="s">
        <v>303</v>
      </c>
      <c r="H22" s="332">
        <f>B22+E22</f>
        <v>201838.15631599998</v>
      </c>
      <c r="I22" s="687"/>
      <c r="J22" s="1536">
        <v>1.4550000000000001</v>
      </c>
      <c r="K22" s="43" t="s">
        <v>181</v>
      </c>
      <c r="L22" s="43" t="s">
        <v>304</v>
      </c>
      <c r="M22" s="43"/>
      <c r="N22" s="340"/>
      <c r="O22" s="687"/>
      <c r="P22" s="1276">
        <f>B64</f>
        <v>3.4250000000000003E-2</v>
      </c>
      <c r="Q22" s="687" t="s">
        <v>187</v>
      </c>
      <c r="R22" s="43" t="s">
        <v>305</v>
      </c>
      <c r="S22" s="687"/>
      <c r="T22" s="681"/>
      <c r="U22" s="687"/>
      <c r="V22" s="687"/>
      <c r="W22" s="687"/>
      <c r="X22" s="687"/>
      <c r="Y22" s="687"/>
      <c r="Z22" s="687"/>
      <c r="AA22" s="687"/>
    </row>
    <row r="23" spans="1:27" x14ac:dyDescent="0.35">
      <c r="A23" s="205" t="s">
        <v>306</v>
      </c>
      <c r="B23" s="752">
        <v>100000</v>
      </c>
      <c r="C23" s="687"/>
      <c r="D23" s="205" t="s">
        <v>306</v>
      </c>
      <c r="E23" s="752">
        <v>72000</v>
      </c>
      <c r="F23" s="214"/>
      <c r="G23" s="205" t="s">
        <v>306</v>
      </c>
      <c r="H23" s="753">
        <f>B23+E23</f>
        <v>172000</v>
      </c>
      <c r="I23" s="687"/>
      <c r="J23" s="1495">
        <f>3.584+(J24/60)+(J25/4)</f>
        <v>3.9638333333333335</v>
      </c>
      <c r="K23" s="43" t="s">
        <v>181</v>
      </c>
      <c r="L23" s="43" t="s">
        <v>307</v>
      </c>
      <c r="M23" s="43"/>
      <c r="N23" s="340"/>
      <c r="O23" s="687"/>
      <c r="P23" s="1375">
        <f>B65</f>
        <v>3.8602942000000001E-2</v>
      </c>
      <c r="Q23" s="163" t="s">
        <v>187</v>
      </c>
      <c r="R23" s="76" t="s">
        <v>308</v>
      </c>
      <c r="S23" s="163"/>
      <c r="T23" s="179"/>
      <c r="U23" s="687"/>
      <c r="V23" s="687"/>
      <c r="W23" s="687"/>
      <c r="X23" s="687"/>
      <c r="Y23" s="687"/>
      <c r="Z23" s="687"/>
      <c r="AA23" s="687"/>
    </row>
    <row r="24" spans="1:27" x14ac:dyDescent="0.35">
      <c r="A24" s="687"/>
      <c r="B24" s="687"/>
      <c r="C24" s="687"/>
      <c r="D24" s="687"/>
      <c r="E24" s="214"/>
      <c r="F24" s="214"/>
      <c r="G24" s="687"/>
      <c r="H24" s="687"/>
      <c r="I24" s="687"/>
      <c r="J24" s="1536">
        <v>18.14</v>
      </c>
      <c r="K24" s="43" t="s">
        <v>181</v>
      </c>
      <c r="L24" s="43" t="s">
        <v>309</v>
      </c>
      <c r="M24" s="43"/>
      <c r="N24" s="340"/>
      <c r="O24" s="687"/>
      <c r="P24" s="1276">
        <f>B67+(4*B68)</f>
        <v>1.4500000000000002</v>
      </c>
      <c r="Q24" s="687" t="s">
        <v>187</v>
      </c>
      <c r="R24" s="43" t="s">
        <v>310</v>
      </c>
      <c r="S24" s="687"/>
      <c r="T24" s="681"/>
      <c r="U24" s="687"/>
      <c r="V24" s="687"/>
      <c r="W24" s="687"/>
      <c r="X24" s="687"/>
      <c r="Y24" s="687"/>
      <c r="Z24" s="687"/>
      <c r="AA24" s="687"/>
    </row>
    <row r="25" spans="1:27" x14ac:dyDescent="0.35">
      <c r="A25" s="687"/>
      <c r="B25" s="687"/>
      <c r="C25" s="687"/>
      <c r="D25" s="687"/>
      <c r="E25" s="214"/>
      <c r="F25" s="214"/>
      <c r="G25" s="687"/>
      <c r="H25" s="687"/>
      <c r="I25" s="687"/>
      <c r="J25" s="1536">
        <v>0.31</v>
      </c>
      <c r="K25" s="43" t="s">
        <v>181</v>
      </c>
      <c r="L25" s="43" t="s">
        <v>311</v>
      </c>
      <c r="M25" s="43"/>
      <c r="N25" s="340"/>
      <c r="O25" s="687"/>
      <c r="P25" s="1276">
        <f>(B73)+(4*B83)</f>
        <v>0.60000000000000009</v>
      </c>
      <c r="Q25" s="687" t="s">
        <v>187</v>
      </c>
      <c r="R25" s="43" t="s">
        <v>312</v>
      </c>
      <c r="S25" s="687"/>
      <c r="T25" s="681"/>
      <c r="U25" s="687"/>
      <c r="V25" s="687"/>
      <c r="W25" s="687"/>
      <c r="X25" s="687"/>
      <c r="Y25" s="687"/>
      <c r="Z25" s="687"/>
      <c r="AA25" s="687"/>
    </row>
    <row r="26" spans="1:27" x14ac:dyDescent="0.35">
      <c r="A26" s="687"/>
      <c r="B26" s="687"/>
      <c r="C26" s="687"/>
      <c r="D26" s="687"/>
      <c r="E26" s="214"/>
      <c r="F26" s="5"/>
      <c r="G26" s="249"/>
      <c r="H26" s="249"/>
      <c r="I26" s="457"/>
      <c r="J26" s="234"/>
      <c r="K26" s="43"/>
      <c r="L26" s="43"/>
      <c r="M26" s="43"/>
      <c r="N26" s="340"/>
      <c r="O26" s="687"/>
      <c r="P26" s="1375">
        <f>B80</f>
        <v>0.51070000000000004</v>
      </c>
      <c r="Q26" s="163" t="s">
        <v>187</v>
      </c>
      <c r="R26" s="76" t="s">
        <v>313</v>
      </c>
      <c r="S26" s="163"/>
      <c r="T26" s="179"/>
      <c r="U26" s="687"/>
      <c r="V26" s="687"/>
      <c r="W26" s="687"/>
      <c r="X26" s="687"/>
      <c r="Y26" s="687"/>
      <c r="Z26" s="687"/>
      <c r="AA26" s="687"/>
    </row>
    <row r="27" spans="1:27" x14ac:dyDescent="0.35">
      <c r="A27" s="687"/>
      <c r="B27" s="687"/>
      <c r="C27" s="687"/>
      <c r="D27" s="687"/>
      <c r="E27" s="687"/>
      <c r="F27" s="687"/>
      <c r="G27" s="1184"/>
      <c r="H27" s="1185"/>
      <c r="I27" s="457"/>
      <c r="J27" s="448" t="s">
        <v>314</v>
      </c>
      <c r="K27" s="363"/>
      <c r="L27" s="338"/>
      <c r="M27" s="338"/>
      <c r="N27" s="362"/>
      <c r="O27" s="687"/>
      <c r="P27" s="535">
        <f>P17+(P20*24)+P24</f>
        <v>31.648</v>
      </c>
      <c r="Q27" s="687" t="s">
        <v>187</v>
      </c>
      <c r="R27" s="43" t="s">
        <v>315</v>
      </c>
      <c r="S27" s="687"/>
      <c r="T27" s="681"/>
      <c r="U27" s="687"/>
      <c r="V27" s="687"/>
      <c r="W27" s="687"/>
      <c r="X27" s="687"/>
      <c r="Y27" s="687"/>
      <c r="Z27" s="687"/>
      <c r="AA27" s="687"/>
    </row>
    <row r="28" spans="1:27" x14ac:dyDescent="0.35">
      <c r="A28" s="687"/>
      <c r="B28" s="687"/>
      <c r="C28" s="687"/>
      <c r="D28" s="687"/>
      <c r="E28" s="687"/>
      <c r="F28" s="687"/>
      <c r="G28" s="1184"/>
      <c r="H28" s="1185"/>
      <c r="I28" s="457"/>
      <c r="J28" s="234">
        <v>1</v>
      </c>
      <c r="K28" s="43" t="s">
        <v>187</v>
      </c>
      <c r="L28" s="43">
        <v>16</v>
      </c>
      <c r="M28" s="43" t="s">
        <v>316</v>
      </c>
      <c r="N28" s="340"/>
      <c r="O28" s="687"/>
      <c r="P28" s="535">
        <f>P17+(P21*24)+P25</f>
        <v>21.156960000000002</v>
      </c>
      <c r="Q28" s="687" t="s">
        <v>187</v>
      </c>
      <c r="R28" s="43" t="s">
        <v>317</v>
      </c>
      <c r="S28" s="687"/>
      <c r="T28" s="681"/>
      <c r="U28" s="687"/>
      <c r="V28" s="687"/>
      <c r="W28" s="687"/>
      <c r="X28" s="687"/>
      <c r="Y28" s="687"/>
      <c r="Z28" s="687"/>
      <c r="AA28" s="687"/>
    </row>
    <row r="29" spans="1:27" x14ac:dyDescent="0.35">
      <c r="A29" s="687"/>
      <c r="B29" s="687"/>
      <c r="C29" s="722"/>
      <c r="D29" s="687"/>
      <c r="E29" s="687"/>
      <c r="F29" s="687"/>
      <c r="G29" s="1184"/>
      <c r="H29" s="1185"/>
      <c r="I29" s="457"/>
      <c r="J29" s="234">
        <v>1</v>
      </c>
      <c r="K29" s="43" t="s">
        <v>273</v>
      </c>
      <c r="L29" s="43">
        <v>128</v>
      </c>
      <c r="M29" s="43" t="s">
        <v>316</v>
      </c>
      <c r="N29" s="340"/>
      <c r="O29" s="687"/>
      <c r="P29" s="535">
        <f>P18+(P22*24)+P25</f>
        <v>27.894000000000002</v>
      </c>
      <c r="Q29" s="687" t="s">
        <v>187</v>
      </c>
      <c r="R29" s="43" t="s">
        <v>318</v>
      </c>
      <c r="S29" s="687"/>
      <c r="T29" s="681"/>
      <c r="U29" s="687"/>
      <c r="V29" s="687"/>
      <c r="W29" s="687"/>
      <c r="X29" s="687"/>
      <c r="Y29" s="687"/>
      <c r="Z29" s="687"/>
      <c r="AA29" s="687"/>
    </row>
    <row r="30" spans="1:27" x14ac:dyDescent="0.35">
      <c r="A30" s="687"/>
      <c r="B30" s="687"/>
      <c r="C30" s="722"/>
      <c r="D30" s="687"/>
      <c r="E30" s="687"/>
      <c r="F30" s="687"/>
      <c r="G30" s="1184"/>
      <c r="H30" s="1185"/>
      <c r="I30" s="457"/>
      <c r="J30" s="234">
        <v>1</v>
      </c>
      <c r="K30" s="43" t="s">
        <v>187</v>
      </c>
      <c r="L30" s="43">
        <v>0.453592</v>
      </c>
      <c r="M30" s="43" t="s">
        <v>181</v>
      </c>
      <c r="N30" s="340"/>
      <c r="O30" s="687"/>
      <c r="P30" s="1277">
        <f>P19+(P23*15)+P26</f>
        <v>20.943744129999999</v>
      </c>
      <c r="Q30" s="163" t="s">
        <v>187</v>
      </c>
      <c r="R30" s="76" t="s">
        <v>319</v>
      </c>
      <c r="S30" s="163"/>
      <c r="T30" s="179"/>
      <c r="U30" s="687"/>
      <c r="V30" s="687"/>
      <c r="W30" s="687"/>
      <c r="X30" s="687"/>
      <c r="Y30" s="687"/>
      <c r="Z30" s="687"/>
      <c r="AA30" s="687"/>
    </row>
    <row r="31" spans="1:27" x14ac:dyDescent="0.35">
      <c r="A31" s="687"/>
      <c r="B31" s="687"/>
      <c r="C31" s="687"/>
      <c r="D31" s="687"/>
      <c r="E31" s="687"/>
      <c r="F31" s="687"/>
      <c r="G31" s="1184"/>
      <c r="H31" s="1185"/>
      <c r="I31" s="457"/>
      <c r="J31" s="234">
        <v>1</v>
      </c>
      <c r="K31" s="43" t="s">
        <v>181</v>
      </c>
      <c r="L31" s="43">
        <v>2.2046230000000002</v>
      </c>
      <c r="M31" s="43" t="s">
        <v>187</v>
      </c>
      <c r="N31" s="340"/>
      <c r="O31" s="687"/>
      <c r="P31" s="687"/>
      <c r="Q31" s="687"/>
      <c r="R31" s="687"/>
      <c r="S31" s="687"/>
      <c r="T31" s="687"/>
      <c r="U31" s="687"/>
      <c r="V31" s="687"/>
      <c r="W31" s="687"/>
      <c r="X31" s="687"/>
      <c r="Y31" s="687"/>
      <c r="Z31" s="687"/>
      <c r="AA31" s="687"/>
    </row>
    <row r="32" spans="1:27" x14ac:dyDescent="0.35">
      <c r="A32" s="687"/>
      <c r="B32" s="687"/>
      <c r="C32" s="687"/>
      <c r="D32" s="722"/>
      <c r="E32" s="896"/>
      <c r="F32" s="687"/>
      <c r="G32" s="1184"/>
      <c r="H32" s="1185"/>
      <c r="I32" s="457"/>
      <c r="J32" s="234">
        <v>1</v>
      </c>
      <c r="K32" s="43" t="s">
        <v>187</v>
      </c>
      <c r="L32" s="43">
        <v>453.5924</v>
      </c>
      <c r="M32" s="43" t="s">
        <v>320</v>
      </c>
      <c r="N32" s="340"/>
      <c r="O32" s="687"/>
      <c r="P32" s="687"/>
      <c r="Q32" s="687"/>
      <c r="R32" s="687"/>
      <c r="S32" s="687"/>
      <c r="T32" s="687"/>
      <c r="U32" s="687"/>
      <c r="V32" s="687"/>
      <c r="W32" s="687"/>
      <c r="X32" s="687"/>
      <c r="Y32" s="687"/>
      <c r="Z32" s="687"/>
      <c r="AA32" s="687"/>
    </row>
    <row r="33" spans="1:15" x14ac:dyDescent="0.35">
      <c r="A33" s="687"/>
      <c r="B33" s="687"/>
      <c r="C33" s="687"/>
      <c r="D33" s="722"/>
      <c r="E33" s="167"/>
      <c r="F33" s="687"/>
      <c r="G33" s="1184"/>
      <c r="H33" s="1185"/>
      <c r="I33" s="457"/>
      <c r="J33" s="358">
        <v>288</v>
      </c>
      <c r="K33" s="326" t="s">
        <v>275</v>
      </c>
      <c r="L33" s="326" t="s">
        <v>321</v>
      </c>
      <c r="M33" s="326" t="s">
        <v>322</v>
      </c>
      <c r="N33" s="340"/>
      <c r="O33" s="687"/>
    </row>
    <row r="34" spans="1:15" x14ac:dyDescent="0.35">
      <c r="A34" s="687"/>
      <c r="B34" s="687"/>
      <c r="C34" s="687"/>
      <c r="D34" s="687"/>
      <c r="E34" s="896"/>
      <c r="F34" s="687"/>
      <c r="G34" s="1184"/>
      <c r="H34" s="1186"/>
      <c r="I34" s="457"/>
      <c r="J34" s="358">
        <v>72</v>
      </c>
      <c r="K34" s="326" t="s">
        <v>275</v>
      </c>
      <c r="L34" s="326" t="s">
        <v>323</v>
      </c>
      <c r="M34" s="326" t="s">
        <v>322</v>
      </c>
      <c r="N34" s="340"/>
      <c r="O34" s="687"/>
    </row>
    <row r="35" spans="1:15" x14ac:dyDescent="0.35">
      <c r="A35" s="687"/>
      <c r="B35" s="687"/>
      <c r="C35" s="687"/>
      <c r="D35" s="687"/>
      <c r="E35" s="687"/>
      <c r="F35" s="687"/>
      <c r="G35" s="1184"/>
      <c r="H35" s="1185"/>
      <c r="I35" s="457"/>
      <c r="J35" s="358">
        <v>1</v>
      </c>
      <c r="K35" s="326" t="s">
        <v>324</v>
      </c>
      <c r="L35" s="326">
        <v>1.173477653</v>
      </c>
      <c r="M35" s="326" t="s">
        <v>125</v>
      </c>
      <c r="N35" s="340"/>
      <c r="O35" s="687"/>
    </row>
    <row r="36" spans="1:15" x14ac:dyDescent="0.35">
      <c r="A36" s="687"/>
      <c r="B36" s="687"/>
      <c r="C36" s="687"/>
      <c r="D36" s="687"/>
      <c r="E36" s="687"/>
      <c r="F36" s="687"/>
      <c r="G36" s="457"/>
      <c r="H36" s="457"/>
      <c r="I36" s="457"/>
      <c r="J36" s="358">
        <v>1</v>
      </c>
      <c r="K36" s="326" t="s">
        <v>125</v>
      </c>
      <c r="L36" s="326">
        <v>0.85216800000000004</v>
      </c>
      <c r="M36" s="326" t="s">
        <v>324</v>
      </c>
      <c r="N36" s="340"/>
      <c r="O36" s="687"/>
    </row>
    <row r="37" spans="1:15" x14ac:dyDescent="0.35">
      <c r="A37" s="687"/>
      <c r="B37" s="687"/>
      <c r="C37" s="687"/>
      <c r="D37" s="687"/>
      <c r="E37" s="687"/>
      <c r="F37" s="687"/>
      <c r="G37" s="249"/>
      <c r="H37" s="249"/>
      <c r="I37" s="457"/>
      <c r="J37" s="358">
        <v>1</v>
      </c>
      <c r="K37" s="326" t="s">
        <v>325</v>
      </c>
      <c r="L37" s="326">
        <v>2000</v>
      </c>
      <c r="M37" s="326" t="s">
        <v>187</v>
      </c>
      <c r="N37" s="340"/>
      <c r="O37" s="687"/>
    </row>
    <row r="38" spans="1:15" s="456" customFormat="1" x14ac:dyDescent="0.35">
      <c r="A38" s="1305" t="s">
        <v>326</v>
      </c>
      <c r="B38" s="687"/>
      <c r="C38" s="687"/>
      <c r="D38" s="687"/>
      <c r="E38" s="687"/>
      <c r="F38" s="687"/>
      <c r="G38" s="1184"/>
      <c r="H38" s="1185"/>
      <c r="I38" s="457"/>
      <c r="J38" s="358">
        <v>1</v>
      </c>
      <c r="K38" s="326" t="s">
        <v>187</v>
      </c>
      <c r="L38" s="326">
        <v>5.0000000000000001E-4</v>
      </c>
      <c r="M38" s="326" t="s">
        <v>325</v>
      </c>
      <c r="N38" s="340"/>
      <c r="O38" s="687"/>
    </row>
    <row r="39" spans="1:15" s="456" customFormat="1" x14ac:dyDescent="0.35">
      <c r="A39" s="1237" t="s">
        <v>327</v>
      </c>
      <c r="B39" s="188"/>
      <c r="C39" s="1531">
        <v>6.3</v>
      </c>
      <c r="D39" s="687"/>
      <c r="E39" s="687"/>
      <c r="F39" s="687"/>
      <c r="G39" s="1184"/>
      <c r="H39" s="1185"/>
      <c r="I39" s="457"/>
      <c r="J39" s="358">
        <v>1</v>
      </c>
      <c r="K39" s="326" t="s">
        <v>325</v>
      </c>
      <c r="L39" s="326">
        <v>0.90718500000000002</v>
      </c>
      <c r="M39" s="326" t="s">
        <v>328</v>
      </c>
      <c r="N39" s="681"/>
      <c r="O39" s="687"/>
    </row>
    <row r="40" spans="1:15" x14ac:dyDescent="0.35">
      <c r="A40" s="368" t="s">
        <v>329</v>
      </c>
      <c r="B40" s="1238"/>
      <c r="C40" s="1532">
        <v>10.210000000000001</v>
      </c>
      <c r="D40" s="687"/>
      <c r="E40" s="687"/>
      <c r="F40" s="687"/>
      <c r="G40" s="1184"/>
      <c r="H40" s="457"/>
      <c r="I40" s="457"/>
      <c r="J40" s="358">
        <v>1</v>
      </c>
      <c r="K40" s="326" t="s">
        <v>330</v>
      </c>
      <c r="L40" s="326">
        <v>3.67</v>
      </c>
      <c r="M40" s="326" t="s">
        <v>331</v>
      </c>
      <c r="N40" s="681"/>
      <c r="O40" s="687"/>
    </row>
    <row r="41" spans="1:15" x14ac:dyDescent="0.35">
      <c r="A41" s="368" t="s">
        <v>332</v>
      </c>
      <c r="B41" s="1238"/>
      <c r="C41" s="1532">
        <v>0.20200000000000001</v>
      </c>
      <c r="D41" s="687"/>
      <c r="E41" s="687"/>
      <c r="F41" s="687"/>
      <c r="G41" s="1184"/>
      <c r="H41" s="1185"/>
      <c r="I41" s="457"/>
      <c r="J41" s="358">
        <v>1</v>
      </c>
      <c r="K41" s="326" t="s">
        <v>328</v>
      </c>
      <c r="L41" s="326">
        <v>1000</v>
      </c>
      <c r="M41" s="326" t="s">
        <v>181</v>
      </c>
      <c r="N41" s="681"/>
      <c r="O41" s="687"/>
    </row>
    <row r="42" spans="1:15" x14ac:dyDescent="0.35">
      <c r="A42" s="667" t="s">
        <v>333</v>
      </c>
      <c r="B42" s="687"/>
      <c r="C42" s="687"/>
      <c r="D42" s="687"/>
      <c r="E42" s="687"/>
      <c r="F42" s="687"/>
      <c r="G42" s="1184"/>
      <c r="H42" s="1185"/>
      <c r="I42" s="457"/>
      <c r="J42" s="358">
        <v>1</v>
      </c>
      <c r="K42" s="326" t="s">
        <v>334</v>
      </c>
      <c r="L42" s="326">
        <v>0.62137119200000002</v>
      </c>
      <c r="M42" s="326" t="s">
        <v>335</v>
      </c>
      <c r="N42" s="681"/>
      <c r="O42" s="687"/>
    </row>
    <row r="43" spans="1:15" x14ac:dyDescent="0.35">
      <c r="A43" s="687"/>
      <c r="B43" s="687"/>
      <c r="C43" s="687"/>
      <c r="D43" s="1166"/>
      <c r="E43" s="100"/>
      <c r="F43" s="687"/>
      <c r="G43" s="1184"/>
      <c r="H43" s="1185"/>
      <c r="I43" s="457"/>
      <c r="J43" s="358">
        <v>1</v>
      </c>
      <c r="K43" s="326" t="s">
        <v>181</v>
      </c>
      <c r="L43" s="326">
        <v>1E-3</v>
      </c>
      <c r="M43" s="326" t="s">
        <v>325</v>
      </c>
      <c r="N43" s="681"/>
      <c r="O43" s="687"/>
    </row>
    <row r="44" spans="1:15" s="687" customFormat="1" x14ac:dyDescent="0.35">
      <c r="G44" s="1184"/>
      <c r="H44" s="1186"/>
      <c r="I44" s="457"/>
      <c r="J44" s="1233">
        <v>1</v>
      </c>
      <c r="K44" s="359" t="s">
        <v>336</v>
      </c>
      <c r="L44" s="359">
        <v>35.314999999999998</v>
      </c>
      <c r="M44" s="359" t="s">
        <v>337</v>
      </c>
      <c r="N44" s="179"/>
    </row>
    <row r="45" spans="1:15" s="687" customFormat="1" x14ac:dyDescent="0.35">
      <c r="G45" s="1184"/>
      <c r="H45" s="1185"/>
      <c r="I45" s="457"/>
      <c r="J45" s="326"/>
      <c r="K45" s="326"/>
      <c r="L45" s="326"/>
      <c r="M45" s="326"/>
      <c r="N45" s="689"/>
    </row>
    <row r="46" spans="1:15" s="687" customFormat="1" x14ac:dyDescent="0.35">
      <c r="G46" s="1184"/>
      <c r="H46" s="1185"/>
      <c r="I46" s="1187"/>
      <c r="J46" s="326"/>
      <c r="K46" s="326"/>
      <c r="L46" s="326"/>
      <c r="M46" s="326"/>
      <c r="N46" s="689"/>
    </row>
    <row r="47" spans="1:15" x14ac:dyDescent="0.35">
      <c r="A47" s="1831" t="s">
        <v>338</v>
      </c>
      <c r="B47" s="1831" t="s">
        <v>339</v>
      </c>
      <c r="C47" s="1831" t="s">
        <v>340</v>
      </c>
      <c r="D47" s="1831" t="s">
        <v>341</v>
      </c>
      <c r="E47" s="1827" t="s">
        <v>342</v>
      </c>
      <c r="F47" s="1827"/>
      <c r="G47" s="1827"/>
      <c r="H47" s="1827"/>
      <c r="I47" s="1827"/>
      <c r="J47" s="1828"/>
      <c r="K47" s="687"/>
      <c r="L47" s="687"/>
      <c r="M47" s="687"/>
      <c r="N47" s="687"/>
      <c r="O47" s="687"/>
    </row>
    <row r="48" spans="1:15" x14ac:dyDescent="0.35">
      <c r="A48" s="1831"/>
      <c r="B48" s="1831"/>
      <c r="C48" s="1831"/>
      <c r="D48" s="1831"/>
      <c r="E48" s="1694" t="s">
        <v>343</v>
      </c>
      <c r="F48" s="1694" t="s">
        <v>344</v>
      </c>
      <c r="G48" s="1830" t="s">
        <v>345</v>
      </c>
      <c r="H48" s="1830"/>
      <c r="I48" s="1830"/>
      <c r="J48" s="1694" t="s">
        <v>346</v>
      </c>
      <c r="K48" s="1694" t="s">
        <v>347</v>
      </c>
      <c r="L48" s="1694" t="s">
        <v>348</v>
      </c>
      <c r="M48" s="687"/>
      <c r="N48" s="687"/>
      <c r="O48" s="687"/>
    </row>
    <row r="49" spans="1:13" s="687" customFormat="1" x14ac:dyDescent="0.35">
      <c r="A49" s="1167">
        <v>1</v>
      </c>
      <c r="B49" s="365" t="s">
        <v>349</v>
      </c>
      <c r="C49" s="365" t="s">
        <v>350</v>
      </c>
      <c r="D49" s="367" t="s">
        <v>351</v>
      </c>
      <c r="E49" s="1169">
        <v>1</v>
      </c>
      <c r="F49" s="366">
        <v>31.5</v>
      </c>
      <c r="G49" s="1832">
        <v>6.8889500000000004</v>
      </c>
      <c r="H49" s="1832"/>
      <c r="I49" s="1832"/>
      <c r="J49" s="366">
        <f>L35</f>
        <v>1.173477653</v>
      </c>
      <c r="K49" s="366">
        <f>F49*128</f>
        <v>4032</v>
      </c>
      <c r="L49" s="366">
        <f>K49/12</f>
        <v>336</v>
      </c>
    </row>
    <row r="50" spans="1:13" x14ac:dyDescent="0.35">
      <c r="A50" s="364" t="s">
        <v>352</v>
      </c>
      <c r="B50" s="365" t="s">
        <v>349</v>
      </c>
      <c r="C50" s="365" t="s">
        <v>350</v>
      </c>
      <c r="D50" s="367" t="s">
        <v>351</v>
      </c>
      <c r="E50" s="1165">
        <v>0.49209999999999998</v>
      </c>
      <c r="F50" s="366">
        <v>15.5</v>
      </c>
      <c r="G50" s="1832">
        <v>6.8889500000000004</v>
      </c>
      <c r="H50" s="1832"/>
      <c r="I50" s="1832"/>
      <c r="J50" s="366">
        <v>0.5867389428099874</v>
      </c>
      <c r="K50" s="44"/>
      <c r="L50" s="44"/>
      <c r="M50" s="687"/>
    </row>
    <row r="51" spans="1:13" x14ac:dyDescent="0.35">
      <c r="A51" s="364" t="s">
        <v>353</v>
      </c>
      <c r="B51" s="366" t="s">
        <v>354</v>
      </c>
      <c r="C51" s="366" t="s">
        <v>350</v>
      </c>
      <c r="D51" s="368" t="s">
        <v>351</v>
      </c>
      <c r="E51" s="1165">
        <v>0.16400000000000001</v>
      </c>
      <c r="F51" s="1164">
        <v>5.25</v>
      </c>
      <c r="G51" s="1832">
        <v>2.2963166666666668</v>
      </c>
      <c r="H51" s="1832"/>
      <c r="I51" s="1832"/>
      <c r="J51" s="366">
        <v>0.19557964760332913</v>
      </c>
      <c r="K51" s="687"/>
      <c r="L51" s="687"/>
      <c r="M51" s="687"/>
    </row>
    <row r="52" spans="1:13" x14ac:dyDescent="0.35">
      <c r="A52" s="364" t="s">
        <v>355</v>
      </c>
      <c r="B52" s="366" t="s">
        <v>356</v>
      </c>
      <c r="C52" s="366" t="s">
        <v>357</v>
      </c>
      <c r="D52" s="368" t="s">
        <v>358</v>
      </c>
      <c r="E52" s="1155">
        <v>7.152E-2</v>
      </c>
      <c r="F52" s="1164">
        <v>2.25</v>
      </c>
      <c r="G52" s="1832">
        <v>1</v>
      </c>
      <c r="H52" s="1832"/>
      <c r="I52" s="1832"/>
      <c r="J52" s="366">
        <v>8.517102647137624E-2</v>
      </c>
      <c r="K52" s="366">
        <v>288</v>
      </c>
      <c r="L52" s="366">
        <v>288</v>
      </c>
      <c r="M52" s="687"/>
    </row>
    <row r="53" spans="1:13" x14ac:dyDescent="0.35">
      <c r="A53" s="364" t="s">
        <v>359</v>
      </c>
      <c r="B53" s="366" t="s">
        <v>360</v>
      </c>
      <c r="C53" s="366" t="s">
        <v>357</v>
      </c>
      <c r="D53" s="368" t="s">
        <v>358</v>
      </c>
      <c r="E53" s="1155">
        <v>7.152E-2</v>
      </c>
      <c r="F53" s="1164">
        <v>2.25</v>
      </c>
      <c r="G53" s="1832">
        <v>1</v>
      </c>
      <c r="H53" s="1832"/>
      <c r="I53" s="1832"/>
      <c r="J53" s="366">
        <v>8.517102647137624E-2</v>
      </c>
      <c r="K53" s="687"/>
      <c r="L53" s="687"/>
      <c r="M53" s="687"/>
    </row>
    <row r="54" spans="1:13" x14ac:dyDescent="0.35">
      <c r="A54" s="364" t="s">
        <v>361</v>
      </c>
      <c r="B54" s="366" t="s">
        <v>362</v>
      </c>
      <c r="C54" s="366" t="s">
        <v>357</v>
      </c>
      <c r="D54" s="368" t="s">
        <v>358</v>
      </c>
      <c r="E54" s="1155">
        <v>7.152E-2</v>
      </c>
      <c r="F54" s="1164">
        <v>2.25</v>
      </c>
      <c r="G54" s="1832">
        <v>1</v>
      </c>
      <c r="H54" s="1832"/>
      <c r="I54" s="1832"/>
      <c r="J54" s="366">
        <v>8.517102647137624E-2</v>
      </c>
      <c r="K54" s="687"/>
      <c r="L54" s="687"/>
      <c r="M54" s="687"/>
    </row>
    <row r="55" spans="1:13" s="456" customFormat="1" x14ac:dyDescent="0.35">
      <c r="A55" s="364" t="s">
        <v>363</v>
      </c>
      <c r="B55" s="366" t="s">
        <v>364</v>
      </c>
      <c r="C55" s="366" t="s">
        <v>357</v>
      </c>
      <c r="D55" s="368" t="s">
        <v>365</v>
      </c>
      <c r="E55" s="1155">
        <v>6.6531667864236685E-2</v>
      </c>
      <c r="F55" s="1165">
        <v>2.0624817037913368</v>
      </c>
      <c r="G55" s="1832">
        <v>0.91666666666666663</v>
      </c>
      <c r="H55" s="1832"/>
      <c r="I55" s="1832"/>
      <c r="J55" s="366">
        <v>7.8073440932094881E-2</v>
      </c>
      <c r="K55" s="687"/>
      <c r="L55" s="687"/>
      <c r="M55" s="687"/>
    </row>
    <row r="56" spans="1:13" s="687" customFormat="1" x14ac:dyDescent="0.35">
      <c r="A56" s="364" t="s">
        <v>366</v>
      </c>
      <c r="B56" s="1156" t="s">
        <v>367</v>
      </c>
      <c r="C56" s="1156" t="s">
        <v>368</v>
      </c>
      <c r="D56" s="1156" t="s">
        <v>358</v>
      </c>
      <c r="E56" s="1155">
        <f>E52/24</f>
        <v>2.98E-3</v>
      </c>
      <c r="F56" s="1155">
        <f>F52/24</f>
        <v>9.375E-2</v>
      </c>
      <c r="G56" s="1715"/>
      <c r="H56" s="1715"/>
      <c r="I56" s="1715"/>
      <c r="J56" s="689"/>
      <c r="K56" s="366">
        <v>12</v>
      </c>
      <c r="L56" s="366">
        <v>1</v>
      </c>
    </row>
    <row r="57" spans="1:13" s="456" customFormat="1" x14ac:dyDescent="0.35">
      <c r="A57" s="1157" t="s">
        <v>369</v>
      </c>
      <c r="B57" s="1156" t="s">
        <v>370</v>
      </c>
      <c r="C57" s="1156" t="s">
        <v>368</v>
      </c>
      <c r="D57" s="1156" t="s">
        <v>371</v>
      </c>
      <c r="E57" s="1155">
        <v>4.0322500000000002E-3</v>
      </c>
      <c r="F57" s="1158">
        <v>0.125</v>
      </c>
      <c r="G57" s="1168"/>
      <c r="H57" s="214"/>
      <c r="I57" s="214"/>
      <c r="J57" s="214"/>
      <c r="K57" s="687"/>
      <c r="L57" s="687"/>
      <c r="M57" s="687"/>
    </row>
    <row r="58" spans="1:13" s="687" customFormat="1" x14ac:dyDescent="0.35">
      <c r="A58" s="1157" t="s">
        <v>372</v>
      </c>
      <c r="B58" s="1156" t="s">
        <v>373</v>
      </c>
      <c r="C58" s="1156" t="s">
        <v>368</v>
      </c>
      <c r="D58" s="1156" t="s">
        <v>365</v>
      </c>
      <c r="E58" s="1155">
        <f>E55/12</f>
        <v>5.5443056553530568E-3</v>
      </c>
      <c r="F58" s="1155">
        <f>F55/12</f>
        <v>0.17187347531594474</v>
      </c>
      <c r="G58" s="1168"/>
      <c r="H58" s="214"/>
      <c r="I58" s="214"/>
      <c r="J58" s="214"/>
    </row>
    <row r="59" spans="1:13" s="687" customFormat="1" x14ac:dyDescent="0.35">
      <c r="G59" s="214"/>
      <c r="H59" s="214"/>
      <c r="I59" s="214"/>
      <c r="J59" s="214"/>
    </row>
    <row r="60" spans="1:13" s="456" customFormat="1" x14ac:dyDescent="0.35">
      <c r="A60" s="503" t="s">
        <v>338</v>
      </c>
      <c r="B60" s="503" t="s">
        <v>374</v>
      </c>
      <c r="C60" s="503" t="s">
        <v>375</v>
      </c>
      <c r="D60" s="503" t="s">
        <v>376</v>
      </c>
      <c r="E60" s="1695" t="s">
        <v>338</v>
      </c>
      <c r="F60" s="1695" t="s">
        <v>377</v>
      </c>
      <c r="G60" s="1831" t="s">
        <v>378</v>
      </c>
      <c r="H60" s="1831"/>
      <c r="I60" s="1831" t="s">
        <v>379</v>
      </c>
      <c r="J60" s="1831"/>
      <c r="K60" s="687"/>
      <c r="L60" s="687"/>
      <c r="M60" s="687"/>
    </row>
    <row r="61" spans="1:13" s="514" customFormat="1" x14ac:dyDescent="0.35">
      <c r="A61" s="745" t="s">
        <v>380</v>
      </c>
      <c r="B61" s="1712">
        <v>0.43099999999999999</v>
      </c>
      <c r="C61" s="1712">
        <v>195.49799999999999</v>
      </c>
      <c r="D61" s="717"/>
      <c r="E61" s="716" t="s">
        <v>381</v>
      </c>
      <c r="F61" s="708">
        <v>27.555</v>
      </c>
      <c r="G61" s="709">
        <v>10.154</v>
      </c>
      <c r="H61" s="710"/>
      <c r="I61" s="709">
        <v>4.6059999999999999</v>
      </c>
      <c r="J61" s="710"/>
      <c r="K61" s="687"/>
      <c r="L61" s="687"/>
      <c r="M61" s="687"/>
    </row>
    <row r="62" spans="1:13" x14ac:dyDescent="0.35">
      <c r="A62" s="745" t="s">
        <v>382</v>
      </c>
      <c r="B62" s="1712">
        <v>0.81200000000000006</v>
      </c>
      <c r="C62" s="1712">
        <v>368.31700000000001</v>
      </c>
      <c r="D62" s="717"/>
      <c r="E62" s="687"/>
      <c r="F62" s="687"/>
      <c r="G62" s="214"/>
      <c r="H62" s="214"/>
      <c r="I62" s="214"/>
      <c r="J62" s="214"/>
      <c r="K62" s="687"/>
      <c r="L62" s="687"/>
      <c r="M62" s="687"/>
    </row>
    <row r="63" spans="1:13" x14ac:dyDescent="0.35">
      <c r="A63" s="745" t="s">
        <v>383</v>
      </c>
      <c r="B63" s="715">
        <v>2.929E-2</v>
      </c>
      <c r="C63" s="1712">
        <v>13.29</v>
      </c>
      <c r="D63" s="717"/>
      <c r="E63" s="687"/>
      <c r="F63" s="687"/>
      <c r="G63" s="214"/>
      <c r="H63" s="214"/>
      <c r="I63" s="214"/>
      <c r="J63" s="214"/>
      <c r="K63" s="687"/>
      <c r="L63" s="687"/>
      <c r="M63" s="687"/>
    </row>
    <row r="64" spans="1:13" s="687" customFormat="1" x14ac:dyDescent="0.35">
      <c r="A64" s="745" t="s">
        <v>384</v>
      </c>
      <c r="B64" s="715">
        <v>3.4250000000000003E-2</v>
      </c>
      <c r="C64" s="1712">
        <v>15.54</v>
      </c>
      <c r="D64" s="717"/>
      <c r="G64" s="214"/>
      <c r="H64" s="214"/>
      <c r="I64" s="214"/>
      <c r="J64" s="214"/>
    </row>
    <row r="65" spans="1:10" s="687" customFormat="1" x14ac:dyDescent="0.35">
      <c r="A65" s="745" t="s">
        <v>385</v>
      </c>
      <c r="B65" s="715">
        <v>3.8602942000000001E-2</v>
      </c>
      <c r="C65" s="1712">
        <v>17.510000000000002</v>
      </c>
      <c r="D65" s="717"/>
      <c r="G65" s="214"/>
      <c r="H65" s="214"/>
      <c r="I65" s="214"/>
      <c r="J65" s="214"/>
    </row>
    <row r="66" spans="1:10" s="687" customFormat="1" x14ac:dyDescent="0.35">
      <c r="A66" s="745" t="s">
        <v>386</v>
      </c>
      <c r="B66" s="715">
        <v>5.04E-2</v>
      </c>
      <c r="C66" s="1712">
        <v>22.88</v>
      </c>
      <c r="D66" s="717"/>
      <c r="G66" s="214"/>
      <c r="H66" s="214"/>
      <c r="I66" s="214"/>
      <c r="J66" s="214"/>
    </row>
    <row r="67" spans="1:10" s="687" customFormat="1" x14ac:dyDescent="0.35">
      <c r="A67" s="745" t="s">
        <v>387</v>
      </c>
      <c r="B67" s="1148">
        <v>0.65</v>
      </c>
      <c r="C67" s="739">
        <f t="shared" ref="C67:C79" si="0">B67*$L$32</f>
        <v>294.83506</v>
      </c>
      <c r="D67" s="717"/>
      <c r="G67" s="214"/>
      <c r="H67" s="214"/>
      <c r="I67" s="214"/>
      <c r="J67" s="214"/>
    </row>
    <row r="68" spans="1:10" s="687" customFormat="1" x14ac:dyDescent="0.35">
      <c r="A68" s="745" t="s">
        <v>388</v>
      </c>
      <c r="B68" s="1148">
        <v>0.2</v>
      </c>
      <c r="C68" s="739">
        <f t="shared" si="0"/>
        <v>90.71848</v>
      </c>
      <c r="D68" s="717"/>
      <c r="G68" s="214"/>
      <c r="H68" s="214"/>
      <c r="I68" s="214"/>
      <c r="J68" s="214"/>
    </row>
    <row r="69" spans="1:10" s="687" customFormat="1" x14ac:dyDescent="0.35">
      <c r="A69" s="745" t="s">
        <v>389</v>
      </c>
      <c r="B69" s="1148">
        <v>0.13200000000000001</v>
      </c>
      <c r="C69" s="739">
        <v>60</v>
      </c>
      <c r="D69" s="717"/>
      <c r="G69" s="214"/>
      <c r="H69" s="214"/>
      <c r="I69" s="214"/>
      <c r="J69" s="214"/>
    </row>
    <row r="70" spans="1:10" s="687" customFormat="1" ht="29" x14ac:dyDescent="0.35">
      <c r="A70" s="745" t="s">
        <v>390</v>
      </c>
      <c r="B70" s="1148">
        <v>0.55000000000000004</v>
      </c>
      <c r="C70" s="739">
        <f t="shared" si="0"/>
        <v>249.47582000000003</v>
      </c>
      <c r="D70" s="717"/>
      <c r="G70" s="214"/>
      <c r="H70" s="214"/>
      <c r="I70" s="214"/>
      <c r="J70" s="214"/>
    </row>
    <row r="71" spans="1:10" s="687" customFormat="1" ht="29" x14ac:dyDescent="0.35">
      <c r="A71" s="745" t="s">
        <v>391</v>
      </c>
      <c r="B71" s="1148">
        <v>0.5</v>
      </c>
      <c r="C71" s="739">
        <f t="shared" si="0"/>
        <v>226.7962</v>
      </c>
      <c r="D71" s="717"/>
      <c r="G71" s="214"/>
      <c r="H71" s="214"/>
      <c r="I71" s="214"/>
      <c r="J71" s="214"/>
    </row>
    <row r="72" spans="1:10" s="687" customFormat="1" ht="29" x14ac:dyDescent="0.35">
      <c r="A72" s="745" t="s">
        <v>392</v>
      </c>
      <c r="B72" s="1148">
        <v>0.55000000000000004</v>
      </c>
      <c r="C72" s="739">
        <f t="shared" si="0"/>
        <v>249.47582000000003</v>
      </c>
      <c r="D72" s="717"/>
      <c r="G72" s="214"/>
      <c r="H72" s="214"/>
      <c r="I72" s="214"/>
      <c r="J72" s="214"/>
    </row>
    <row r="73" spans="1:10" s="687" customFormat="1" ht="43.5" x14ac:dyDescent="0.35">
      <c r="A73" s="745" t="s">
        <v>393</v>
      </c>
      <c r="B73" s="1148">
        <v>0.2</v>
      </c>
      <c r="C73" s="739">
        <f t="shared" si="0"/>
        <v>90.71848</v>
      </c>
      <c r="D73" s="717"/>
      <c r="G73" s="214"/>
      <c r="H73" s="214"/>
      <c r="I73" s="214"/>
      <c r="J73" s="214"/>
    </row>
    <row r="74" spans="1:10" s="687" customFormat="1" x14ac:dyDescent="0.35">
      <c r="A74" s="745" t="s">
        <v>394</v>
      </c>
      <c r="B74" s="1148">
        <v>0.1</v>
      </c>
      <c r="C74" s="739">
        <f t="shared" si="0"/>
        <v>45.35924</v>
      </c>
      <c r="D74" s="717"/>
      <c r="G74" s="214"/>
      <c r="H74" s="214"/>
      <c r="I74" s="214"/>
      <c r="J74" s="214"/>
    </row>
    <row r="75" spans="1:10" s="687" customFormat="1" x14ac:dyDescent="0.35">
      <c r="A75" s="745" t="s">
        <v>395</v>
      </c>
      <c r="B75" s="1148">
        <v>0.25</v>
      </c>
      <c r="C75" s="739">
        <f t="shared" si="0"/>
        <v>113.3981</v>
      </c>
      <c r="D75" s="717"/>
      <c r="G75" s="214"/>
      <c r="H75" s="214"/>
      <c r="I75" s="214"/>
      <c r="J75" s="214"/>
    </row>
    <row r="76" spans="1:10" s="687" customFormat="1" x14ac:dyDescent="0.35">
      <c r="A76" s="745" t="s">
        <v>396</v>
      </c>
      <c r="B76" s="1148">
        <v>0.4</v>
      </c>
      <c r="C76" s="739">
        <f t="shared" si="0"/>
        <v>181.43696</v>
      </c>
      <c r="D76" s="717"/>
      <c r="G76" s="214"/>
      <c r="H76" s="214"/>
      <c r="I76" s="214"/>
      <c r="J76" s="214"/>
    </row>
    <row r="77" spans="1:10" s="687" customFormat="1" x14ac:dyDescent="0.35">
      <c r="A77" s="745" t="s">
        <v>397</v>
      </c>
      <c r="B77" s="1148">
        <v>0.45</v>
      </c>
      <c r="C77" s="739">
        <f t="shared" si="0"/>
        <v>204.11658</v>
      </c>
      <c r="D77" s="717"/>
      <c r="G77" s="214"/>
      <c r="H77" s="214"/>
      <c r="I77" s="214"/>
      <c r="J77" s="214"/>
    </row>
    <row r="78" spans="1:10" s="687" customFormat="1" ht="29" x14ac:dyDescent="0.35">
      <c r="A78" s="745" t="s">
        <v>398</v>
      </c>
      <c r="B78" s="1148">
        <v>0.45</v>
      </c>
      <c r="C78" s="739">
        <f t="shared" si="0"/>
        <v>204.11658</v>
      </c>
      <c r="D78" s="717"/>
      <c r="G78" s="214"/>
      <c r="H78" s="214"/>
      <c r="I78" s="214"/>
      <c r="J78" s="214"/>
    </row>
    <row r="79" spans="1:10" s="687" customFormat="1" x14ac:dyDescent="0.35">
      <c r="A79" s="745" t="s">
        <v>399</v>
      </c>
      <c r="B79" s="1148">
        <v>0.5</v>
      </c>
      <c r="C79" s="739">
        <f t="shared" si="0"/>
        <v>226.7962</v>
      </c>
      <c r="D79" s="717"/>
      <c r="G79" s="214"/>
      <c r="H79" s="214"/>
      <c r="I79" s="214"/>
      <c r="J79" s="214"/>
    </row>
    <row r="80" spans="1:10" s="687" customFormat="1" ht="29" x14ac:dyDescent="0.35">
      <c r="A80" s="745" t="s">
        <v>400</v>
      </c>
      <c r="B80" s="1148">
        <v>0.51070000000000004</v>
      </c>
      <c r="C80" s="739">
        <v>231.66</v>
      </c>
      <c r="D80" s="717"/>
      <c r="G80" s="214"/>
      <c r="H80" s="214"/>
      <c r="I80" s="214"/>
      <c r="J80" s="214"/>
    </row>
    <row r="81" spans="1:10" s="687" customFormat="1" ht="29" x14ac:dyDescent="0.35">
      <c r="A81" s="745" t="s">
        <v>401</v>
      </c>
      <c r="B81" s="1148"/>
      <c r="C81" s="739">
        <v>79</v>
      </c>
      <c r="D81" s="717"/>
      <c r="G81" s="214"/>
      <c r="H81" s="214"/>
      <c r="I81" s="214"/>
      <c r="J81" s="214"/>
    </row>
    <row r="82" spans="1:10" s="687" customFormat="1" ht="29" x14ac:dyDescent="0.35">
      <c r="A82" s="745" t="s">
        <v>402</v>
      </c>
      <c r="B82" s="1148"/>
      <c r="C82" s="739">
        <v>72</v>
      </c>
      <c r="D82" s="717"/>
      <c r="G82" s="214"/>
      <c r="H82" s="214"/>
      <c r="I82" s="214"/>
      <c r="J82" s="214"/>
    </row>
    <row r="83" spans="1:10" s="687" customFormat="1" x14ac:dyDescent="0.35">
      <c r="A83" s="1278" t="s">
        <v>403</v>
      </c>
      <c r="B83" s="1279">
        <v>0.1</v>
      </c>
      <c r="C83" s="739"/>
      <c r="D83" s="717"/>
      <c r="G83" s="214"/>
      <c r="H83" s="214"/>
      <c r="I83" s="214"/>
      <c r="J83" s="214"/>
    </row>
    <row r="84" spans="1:10" x14ac:dyDescent="0.35">
      <c r="A84" s="687"/>
      <c r="B84" s="687"/>
      <c r="C84" s="687"/>
      <c r="D84" s="687"/>
      <c r="E84" s="687"/>
      <c r="F84" s="687"/>
      <c r="G84" s="687"/>
      <c r="H84" s="687"/>
      <c r="I84" s="687"/>
      <c r="J84" s="214"/>
    </row>
    <row r="85" spans="1:10" x14ac:dyDescent="0.35">
      <c r="A85" s="369">
        <v>1</v>
      </c>
      <c r="B85" s="369" t="s">
        <v>105</v>
      </c>
      <c r="C85" s="370" t="s">
        <v>404</v>
      </c>
      <c r="D85" s="687"/>
      <c r="E85" s="687"/>
      <c r="F85" s="687"/>
      <c r="G85" s="687"/>
      <c r="H85" s="687"/>
      <c r="I85" s="687"/>
      <c r="J85" s="687"/>
    </row>
    <row r="86" spans="1:10" x14ac:dyDescent="0.35">
      <c r="A86" s="369">
        <v>31</v>
      </c>
      <c r="B86" s="369" t="s">
        <v>344</v>
      </c>
      <c r="C86" s="370" t="s">
        <v>404</v>
      </c>
      <c r="D86" s="687"/>
      <c r="E86" s="687"/>
      <c r="F86" s="687"/>
      <c r="G86" s="687"/>
      <c r="H86" s="687"/>
      <c r="I86" s="687"/>
      <c r="J86" s="687"/>
    </row>
    <row r="87" spans="1:10" x14ac:dyDescent="0.35">
      <c r="A87" s="369">
        <v>13.777900000000001</v>
      </c>
      <c r="B87" s="369" t="s">
        <v>405</v>
      </c>
      <c r="C87" s="370" t="s">
        <v>404</v>
      </c>
      <c r="D87" s="687"/>
      <c r="E87" s="687"/>
      <c r="F87" s="687"/>
      <c r="G87" s="687"/>
      <c r="H87" s="687"/>
      <c r="I87" s="687"/>
      <c r="J87" s="687"/>
    </row>
    <row r="88" spans="1:10" x14ac:dyDescent="0.35">
      <c r="A88" s="369">
        <v>1.1734776499999999</v>
      </c>
      <c r="B88" s="369" t="s">
        <v>406</v>
      </c>
      <c r="C88" s="370" t="s">
        <v>404</v>
      </c>
      <c r="D88" s="687"/>
      <c r="E88" s="687"/>
      <c r="F88" s="687"/>
      <c r="G88" s="687"/>
      <c r="H88" s="687"/>
      <c r="I88" s="687"/>
      <c r="J88" s="687"/>
    </row>
    <row r="90" spans="1:10" ht="15" thickBot="1" x14ac:dyDescent="0.4">
      <c r="A90" s="1829" t="s">
        <v>407</v>
      </c>
      <c r="B90" s="1829"/>
      <c r="C90" s="1829"/>
      <c r="D90" s="1829"/>
      <c r="E90" s="1829"/>
      <c r="F90" s="687"/>
      <c r="G90" s="687"/>
      <c r="H90" s="687"/>
      <c r="I90" s="687"/>
      <c r="J90" s="687"/>
    </row>
    <row r="91" spans="1:10" ht="15" thickTop="1" x14ac:dyDescent="0.35">
      <c r="A91" s="688" t="s">
        <v>408</v>
      </c>
      <c r="B91" s="687"/>
      <c r="C91" s="687"/>
      <c r="D91" s="687"/>
      <c r="E91" s="687"/>
      <c r="F91" s="687"/>
      <c r="G91" s="687"/>
      <c r="H91" s="687"/>
      <c r="I91" s="687"/>
      <c r="J91" s="687"/>
    </row>
    <row r="92" spans="1:10" x14ac:dyDescent="0.35">
      <c r="A92" s="687"/>
      <c r="B92" s="108" t="s">
        <v>409</v>
      </c>
      <c r="C92" s="687"/>
      <c r="D92" s="687"/>
      <c r="E92" s="687"/>
      <c r="F92" s="687"/>
      <c r="G92" s="687"/>
      <c r="H92" s="687"/>
      <c r="I92" s="687"/>
      <c r="J92" s="687"/>
    </row>
    <row r="93" spans="1:10" x14ac:dyDescent="0.35">
      <c r="A93" s="687"/>
      <c r="B93" s="687"/>
      <c r="C93" s="312" t="s">
        <v>410</v>
      </c>
      <c r="D93" s="687"/>
      <c r="E93" s="687"/>
      <c r="F93" s="687"/>
      <c r="G93" s="687"/>
      <c r="H93" s="687"/>
      <c r="I93" s="687"/>
      <c r="J93" s="687"/>
    </row>
    <row r="94" spans="1:10" s="687" customFormat="1" x14ac:dyDescent="0.35">
      <c r="A94" s="697"/>
    </row>
    <row r="95" spans="1:10" s="687" customFormat="1" x14ac:dyDescent="0.35">
      <c r="A95" s="698" t="s">
        <v>411</v>
      </c>
    </row>
    <row r="96" spans="1:10" s="687" customFormat="1" x14ac:dyDescent="0.35">
      <c r="A96" s="697"/>
      <c r="B96" s="687" t="s">
        <v>412</v>
      </c>
    </row>
    <row r="97" spans="1:2" s="687" customFormat="1" x14ac:dyDescent="0.35">
      <c r="A97" s="697"/>
      <c r="B97" s="687" t="s">
        <v>413</v>
      </c>
    </row>
    <row r="98" spans="1:2" s="687" customFormat="1" x14ac:dyDescent="0.35">
      <c r="A98" s="697"/>
      <c r="B98" s="687" t="s">
        <v>414</v>
      </c>
    </row>
    <row r="99" spans="1:2" s="687" customFormat="1" x14ac:dyDescent="0.35"/>
    <row r="100" spans="1:2" s="687" customFormat="1" x14ac:dyDescent="0.35">
      <c r="A100" s="698" t="s">
        <v>415</v>
      </c>
    </row>
    <row r="101" spans="1:2" s="687" customFormat="1" x14ac:dyDescent="0.35">
      <c r="A101" s="697"/>
      <c r="B101" s="687" t="s">
        <v>416</v>
      </c>
    </row>
    <row r="102" spans="1:2" s="687" customFormat="1" x14ac:dyDescent="0.35">
      <c r="A102" s="697"/>
      <c r="B102" s="1304" t="s">
        <v>417</v>
      </c>
    </row>
    <row r="103" spans="1:2" s="687" customFormat="1" x14ac:dyDescent="0.35"/>
    <row r="104" spans="1:2" s="687" customFormat="1" x14ac:dyDescent="0.35"/>
    <row r="105" spans="1:2" s="687" customFormat="1" x14ac:dyDescent="0.35"/>
    <row r="106" spans="1:2" s="687" customFormat="1" x14ac:dyDescent="0.35"/>
    <row r="107" spans="1:2" s="687" customFormat="1" x14ac:dyDescent="0.35"/>
    <row r="108" spans="1:2" s="687" customFormat="1" x14ac:dyDescent="0.35"/>
    <row r="109" spans="1:2" s="687" customFormat="1" x14ac:dyDescent="0.35"/>
    <row r="110" spans="1:2" s="687" customFormat="1" x14ac:dyDescent="0.35"/>
    <row r="111" spans="1:2" s="687" customFormat="1" x14ac:dyDescent="0.35"/>
    <row r="112" spans="1:2" s="687" customFormat="1" x14ac:dyDescent="0.35"/>
    <row r="113" spans="1:3" s="687" customFormat="1" x14ac:dyDescent="0.35"/>
    <row r="114" spans="1:3" s="687" customFormat="1" x14ac:dyDescent="0.35"/>
    <row r="115" spans="1:3" s="687" customFormat="1" x14ac:dyDescent="0.35"/>
    <row r="116" spans="1:3" s="687" customFormat="1" x14ac:dyDescent="0.35"/>
    <row r="117" spans="1:3" s="687" customFormat="1" x14ac:dyDescent="0.35"/>
    <row r="118" spans="1:3" s="687" customFormat="1" x14ac:dyDescent="0.35"/>
    <row r="119" spans="1:3" s="687" customFormat="1" x14ac:dyDescent="0.35"/>
    <row r="120" spans="1:3" s="687" customFormat="1" x14ac:dyDescent="0.35"/>
    <row r="121" spans="1:3" s="687" customFormat="1" x14ac:dyDescent="0.35"/>
    <row r="122" spans="1:3" s="687" customFormat="1" x14ac:dyDescent="0.35"/>
    <row r="123" spans="1:3" x14ac:dyDescent="0.35">
      <c r="A123" s="1815" t="s">
        <v>418</v>
      </c>
      <c r="B123" s="1816"/>
      <c r="C123" s="1817"/>
    </row>
    <row r="124" spans="1:3" x14ac:dyDescent="0.35">
      <c r="A124" s="1818"/>
      <c r="B124" s="1819"/>
      <c r="C124" s="1820"/>
    </row>
    <row r="125" spans="1:3" x14ac:dyDescent="0.35">
      <c r="A125" s="1821" t="s">
        <v>419</v>
      </c>
      <c r="B125" s="1823" t="s">
        <v>420</v>
      </c>
      <c r="C125" s="1825" t="s">
        <v>421</v>
      </c>
    </row>
    <row r="126" spans="1:3" x14ac:dyDescent="0.35">
      <c r="A126" s="1822"/>
      <c r="B126" s="1824"/>
      <c r="C126" s="1826"/>
    </row>
    <row r="127" spans="1:3" x14ac:dyDescent="0.35">
      <c r="A127" s="251" t="s">
        <v>422</v>
      </c>
      <c r="B127" s="1533">
        <v>8.7799999999999994</v>
      </c>
      <c r="C127" s="252">
        <f t="shared" ref="C127:C133" si="1">B127/3.78541178</f>
        <v>2.3194306221554579</v>
      </c>
    </row>
    <row r="128" spans="1:3" x14ac:dyDescent="0.35">
      <c r="A128" s="251" t="s">
        <v>423</v>
      </c>
      <c r="B128" s="1534">
        <v>10.210000000000001</v>
      </c>
      <c r="C128" s="252">
        <f t="shared" si="1"/>
        <v>2.6971966574267916</v>
      </c>
    </row>
    <row r="129" spans="1:16" x14ac:dyDescent="0.35">
      <c r="A129" s="251" t="s">
        <v>424</v>
      </c>
      <c r="B129" s="1534">
        <v>11.27</v>
      </c>
      <c r="C129" s="252">
        <f t="shared" si="1"/>
        <v>2.9772190332223247</v>
      </c>
      <c r="D129" s="687"/>
      <c r="E129" s="687"/>
      <c r="F129" s="687"/>
      <c r="G129" s="687"/>
      <c r="H129" s="687"/>
      <c r="I129" s="687"/>
      <c r="J129" s="687"/>
      <c r="K129" s="687"/>
      <c r="L129" s="687"/>
      <c r="M129" s="687"/>
      <c r="N129" s="687"/>
      <c r="O129" s="687"/>
      <c r="P129" s="687"/>
    </row>
    <row r="130" spans="1:16" x14ac:dyDescent="0.35">
      <c r="A130" s="253" t="s">
        <v>425</v>
      </c>
      <c r="B130" s="1534">
        <v>5.79</v>
      </c>
      <c r="C130" s="254">
        <f t="shared" si="1"/>
        <v>1.5295561847699433</v>
      </c>
      <c r="D130" s="687"/>
      <c r="E130" s="687"/>
      <c r="F130" s="687"/>
      <c r="G130" s="687"/>
      <c r="H130" s="687"/>
      <c r="I130" s="687"/>
      <c r="J130" s="687"/>
      <c r="K130" s="687"/>
      <c r="L130" s="687"/>
      <c r="M130" s="687"/>
      <c r="N130" s="687"/>
      <c r="O130" s="687"/>
      <c r="P130" s="687"/>
    </row>
    <row r="131" spans="1:16" x14ac:dyDescent="0.35">
      <c r="A131" s="251" t="s">
        <v>426</v>
      </c>
      <c r="B131" s="1534">
        <f xml:space="preserve"> 0.15*B127</f>
        <v>1.3169999999999999</v>
      </c>
      <c r="C131" s="252">
        <f t="shared" si="1"/>
        <v>0.3479145933233187</v>
      </c>
      <c r="D131" s="687"/>
      <c r="E131" s="687"/>
      <c r="F131" s="687"/>
      <c r="G131" s="687"/>
      <c r="H131" s="687"/>
      <c r="I131" s="687"/>
      <c r="J131" s="687"/>
      <c r="K131" s="687"/>
      <c r="L131" s="687"/>
      <c r="M131" s="687"/>
      <c r="N131" s="687"/>
      <c r="O131" s="687"/>
      <c r="P131" s="687"/>
    </row>
    <row r="132" spans="1:16" x14ac:dyDescent="0.35">
      <c r="A132" s="255" t="s">
        <v>427</v>
      </c>
      <c r="B132" s="1534">
        <v>5.75</v>
      </c>
      <c r="C132" s="252">
        <f t="shared" si="1"/>
        <v>1.5189893026644514</v>
      </c>
      <c r="D132" s="687"/>
      <c r="E132" s="687"/>
      <c r="F132" s="687"/>
      <c r="G132" s="687"/>
      <c r="H132" s="687"/>
      <c r="I132" s="687"/>
      <c r="J132" s="687"/>
      <c r="K132" s="687"/>
      <c r="L132" s="687"/>
      <c r="M132" s="687"/>
      <c r="N132" s="687"/>
      <c r="O132" s="687"/>
      <c r="P132" s="687"/>
    </row>
    <row r="133" spans="1:16" x14ac:dyDescent="0.35">
      <c r="A133" s="256" t="s">
        <v>428</v>
      </c>
      <c r="B133" s="1534">
        <v>9.4499999999999993</v>
      </c>
      <c r="C133" s="252">
        <f t="shared" si="1"/>
        <v>2.496425897422446</v>
      </c>
      <c r="D133" s="687"/>
      <c r="E133" s="687"/>
      <c r="F133" s="687"/>
      <c r="G133" s="687"/>
      <c r="H133" s="687"/>
      <c r="I133" s="687"/>
      <c r="J133" s="687"/>
      <c r="K133" s="687"/>
      <c r="L133" s="687"/>
      <c r="M133" s="687"/>
      <c r="N133" s="687"/>
      <c r="O133" s="687"/>
      <c r="P133" s="687"/>
    </row>
    <row r="134" spans="1:16" x14ac:dyDescent="0.35">
      <c r="A134" s="251" t="s">
        <v>429</v>
      </c>
      <c r="B134" s="1534">
        <f>SUM(B135:B136)</f>
        <v>10.058000000000002</v>
      </c>
      <c r="C134" s="252">
        <f>B134/3.78541178</f>
        <v>2.6570425054259226</v>
      </c>
      <c r="D134" s="687"/>
      <c r="E134" s="687"/>
      <c r="F134" s="687"/>
      <c r="G134" s="687"/>
      <c r="H134" s="687"/>
      <c r="I134" s="687"/>
      <c r="J134" s="687"/>
      <c r="K134" s="687"/>
      <c r="L134" s="687"/>
      <c r="M134" s="687"/>
      <c r="N134" s="687"/>
      <c r="O134" s="687"/>
      <c r="P134" s="687"/>
    </row>
    <row r="135" spans="1:16" x14ac:dyDescent="0.35">
      <c r="A135" s="253" t="s">
        <v>430</v>
      </c>
      <c r="B135" s="1534">
        <f>0.2*B133</f>
        <v>1.89</v>
      </c>
      <c r="C135" s="254">
        <f>B135/3.78541178</f>
        <v>0.49928517948448925</v>
      </c>
      <c r="D135" s="687"/>
      <c r="E135" s="687"/>
      <c r="F135" s="687"/>
      <c r="G135" s="687"/>
      <c r="H135" s="687"/>
      <c r="I135" s="687"/>
      <c r="J135" s="687"/>
      <c r="K135" s="687"/>
      <c r="L135" s="687"/>
      <c r="M135" s="687"/>
      <c r="N135" s="687"/>
      <c r="O135" s="687"/>
      <c r="P135" s="687"/>
    </row>
    <row r="136" spans="1:16" x14ac:dyDescent="0.35">
      <c r="A136" s="257" t="s">
        <v>426</v>
      </c>
      <c r="B136" s="1535">
        <f>0.8*B128</f>
        <v>8.168000000000001</v>
      </c>
      <c r="C136" s="258">
        <f>B136/3.78541178</f>
        <v>2.1577573259414331</v>
      </c>
      <c r="D136" s="687"/>
      <c r="E136" s="687"/>
      <c r="F136" s="687"/>
      <c r="G136" s="687"/>
      <c r="H136" s="687"/>
      <c r="I136" s="687"/>
      <c r="J136" s="687"/>
      <c r="K136" s="687"/>
      <c r="L136" s="687"/>
      <c r="M136" s="687"/>
      <c r="N136" s="687"/>
      <c r="O136" s="687"/>
      <c r="P136" s="687"/>
    </row>
    <row r="141" spans="1:16" ht="16" thickBot="1" x14ac:dyDescent="0.4">
      <c r="A141" s="1678"/>
      <c r="B141" s="1678"/>
      <c r="C141" s="1678"/>
      <c r="D141" s="1678"/>
      <c r="E141" s="1678"/>
      <c r="F141" s="1678"/>
      <c r="G141" s="1678"/>
      <c r="H141" s="1678"/>
      <c r="I141" s="1678"/>
      <c r="J141" s="1678"/>
      <c r="K141" s="1678"/>
      <c r="L141" s="1678"/>
      <c r="M141" s="1678"/>
      <c r="N141" s="1678"/>
      <c r="O141" s="1678"/>
      <c r="P141" s="1679" t="s">
        <v>72</v>
      </c>
    </row>
    <row r="142" spans="1:16" ht="15" thickTop="1" x14ac:dyDescent="0.35">
      <c r="A142" s="87"/>
      <c r="B142" s="87"/>
      <c r="C142" s="87"/>
      <c r="D142" s="87"/>
      <c r="E142" s="87"/>
      <c r="F142" s="87"/>
      <c r="G142" s="87"/>
      <c r="H142" s="87"/>
      <c r="I142" s="87"/>
      <c r="J142" s="87"/>
      <c r="K142" s="87"/>
      <c r="L142" s="87"/>
      <c r="M142" s="87"/>
      <c r="N142" s="87"/>
      <c r="O142" s="87"/>
      <c r="P142" s="87"/>
    </row>
  </sheetData>
  <mergeCells count="25">
    <mergeCell ref="G53:I53"/>
    <mergeCell ref="G52:I52"/>
    <mergeCell ref="A1:N1"/>
    <mergeCell ref="A6:B6"/>
    <mergeCell ref="D6:E6"/>
    <mergeCell ref="G6:H6"/>
    <mergeCell ref="A47:A48"/>
    <mergeCell ref="D47:D48"/>
    <mergeCell ref="F3:N4"/>
    <mergeCell ref="A123:C124"/>
    <mergeCell ref="A125:A126"/>
    <mergeCell ref="B125:B126"/>
    <mergeCell ref="C125:C126"/>
    <mergeCell ref="E47:J47"/>
    <mergeCell ref="A90:E90"/>
    <mergeCell ref="G48:I48"/>
    <mergeCell ref="G60:H60"/>
    <mergeCell ref="G49:I49"/>
    <mergeCell ref="G50:I50"/>
    <mergeCell ref="G51:I51"/>
    <mergeCell ref="I60:J60"/>
    <mergeCell ref="G55:I55"/>
    <mergeCell ref="G54:I54"/>
    <mergeCell ref="C47:C48"/>
    <mergeCell ref="B47:B48"/>
  </mergeCells>
  <hyperlinks>
    <hyperlink ref="C93" r:id="rId1" xr:uid="{794908A3-459E-4C06-8A9D-BB5FC67155EA}"/>
    <hyperlink ref="C105" r:id="rId2" display="S:\Sustainability\GHG\GHG Accounting Standards &amp; Guidelines\Calculation Tools\Emissions factors\The Climate Registry\The-Climate-Registry-2018-Default-Emission-Factor-Document (5-1-18).pdf" xr:uid="{A61E0828-24C7-4410-9355-29EDD5288531}"/>
    <hyperlink ref="C103" r:id="rId3" display="S:\Sustainability\GHG\GHG Accounting Standards &amp; Guidelines\Calculation Tools\Emissions factors\EPA\Climate Leaders\EPA GHG Inventory Guidance - Stationary Emissions_3_2016.pdf" xr:uid="{552B40FA-75A4-4AC1-8F68-7678011EED72}"/>
    <hyperlink ref="B102" r:id="rId4" xr:uid="{2D058545-D700-4E72-BFAF-4149F8959343}"/>
    <hyperlink ref="A4" location="'Glossary-FAQs'!A1" display="Glossary/FAQ" xr:uid="{72270EA5-454A-47AA-8039-62A9C5BE0B02}"/>
    <hyperlink ref="B3" location="'Welcome'!C15" display="  = Data entry needed. See color legend on Welcome tab for more info.  " xr:uid="{FD6AA0E8-25E5-4F13-BB19-7D3DF304DB25}"/>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70C0"/>
    <pageSetUpPr fitToPage="1"/>
  </sheetPr>
  <dimension ref="A1:V121"/>
  <sheetViews>
    <sheetView zoomScaleNormal="100" workbookViewId="0">
      <selection activeCell="A2" sqref="A2"/>
    </sheetView>
  </sheetViews>
  <sheetFormatPr defaultColWidth="8.81640625" defaultRowHeight="14.5" x14ac:dyDescent="0.35"/>
  <cols>
    <col min="1" max="1" width="5.1796875" customWidth="1"/>
    <col min="2" max="2" width="17.1796875" customWidth="1"/>
    <col min="3" max="3" width="19.7265625" customWidth="1"/>
    <col min="4" max="4" width="13.81640625" customWidth="1"/>
    <col min="5" max="5" width="16.7265625" customWidth="1"/>
    <col min="6" max="6" width="18.1796875" customWidth="1"/>
    <col min="7" max="7" width="14.453125" customWidth="1"/>
    <col min="8" max="8" width="11" customWidth="1"/>
    <col min="9" max="9" width="16.81640625" customWidth="1"/>
    <col min="10" max="10" width="21" customWidth="1"/>
    <col min="11" max="11" width="17.26953125" customWidth="1"/>
    <col min="12" max="12" width="17.453125" customWidth="1"/>
    <col min="13" max="13" width="18.26953125" customWidth="1"/>
    <col min="14" max="14" width="15.7265625" customWidth="1"/>
    <col min="15" max="15" width="14" customWidth="1"/>
    <col min="16" max="16" width="12.81640625" customWidth="1"/>
  </cols>
  <sheetData>
    <row r="1" spans="1:22" s="72" customFormat="1" ht="21.5" thickBot="1" x14ac:dyDescent="0.55000000000000004">
      <c r="A1" s="1833" t="s">
        <v>431</v>
      </c>
      <c r="B1" s="1834"/>
      <c r="C1" s="1834"/>
      <c r="D1" s="1834"/>
      <c r="E1" s="1834"/>
      <c r="F1" s="1834"/>
      <c r="G1" s="1834"/>
      <c r="H1" s="1834"/>
      <c r="I1" s="1834"/>
      <c r="J1" s="1834"/>
      <c r="K1" s="1834"/>
      <c r="L1" s="1834"/>
      <c r="M1" s="1834"/>
      <c r="N1" s="1834"/>
      <c r="O1" s="1834"/>
      <c r="P1" s="1835"/>
      <c r="S1" s="687"/>
    </row>
    <row r="2" spans="1:22" s="210" customFormat="1" x14ac:dyDescent="0.35">
      <c r="A2" s="226"/>
      <c r="B2" s="226"/>
      <c r="C2" s="226"/>
      <c r="D2" s="226"/>
      <c r="E2" s="226"/>
      <c r="F2" s="226"/>
      <c r="G2" s="1550" t="s">
        <v>264</v>
      </c>
      <c r="H2" s="690"/>
      <c r="I2" s="690"/>
      <c r="J2" s="690"/>
      <c r="K2" s="690"/>
      <c r="L2" s="690"/>
      <c r="M2" s="690"/>
      <c r="N2" s="690"/>
      <c r="O2" s="690"/>
      <c r="P2" s="690"/>
      <c r="Q2" s="690"/>
      <c r="R2" s="690"/>
      <c r="S2" s="687"/>
      <c r="T2" s="690"/>
      <c r="U2" s="690"/>
      <c r="V2" s="690"/>
    </row>
    <row r="3" spans="1:22" x14ac:dyDescent="0.35">
      <c r="A3" s="687"/>
      <c r="B3" s="1548" t="s">
        <v>265</v>
      </c>
      <c r="C3" s="1617" t="s">
        <v>432</v>
      </c>
      <c r="D3" s="1553"/>
      <c r="E3" s="1553"/>
      <c r="F3" s="250"/>
      <c r="G3" s="1840" t="s">
        <v>433</v>
      </c>
      <c r="H3" s="1840"/>
      <c r="I3" s="1840"/>
      <c r="J3" s="1840"/>
      <c r="K3" s="1840"/>
      <c r="L3" s="1840"/>
      <c r="M3" s="1840"/>
      <c r="N3" s="1840"/>
      <c r="O3" s="1840"/>
      <c r="P3" s="1840"/>
      <c r="Q3" s="687"/>
      <c r="R3" s="44"/>
      <c r="S3" s="44"/>
      <c r="T3" s="44"/>
      <c r="U3" s="44"/>
      <c r="V3" s="44"/>
    </row>
    <row r="4" spans="1:22" x14ac:dyDescent="0.35">
      <c r="A4" s="44"/>
      <c r="B4" s="1667" t="s">
        <v>268</v>
      </c>
      <c r="C4" s="44"/>
      <c r="D4" s="44"/>
      <c r="E4" s="44"/>
      <c r="F4" s="44"/>
      <c r="G4" s="1840"/>
      <c r="H4" s="1840"/>
      <c r="I4" s="1840"/>
      <c r="J4" s="1840"/>
      <c r="K4" s="1840"/>
      <c r="L4" s="1840"/>
      <c r="M4" s="1840"/>
      <c r="N4" s="1840"/>
      <c r="O4" s="1840"/>
      <c r="P4" s="1840"/>
      <c r="Q4" s="687"/>
      <c r="R4" s="44"/>
      <c r="S4" s="44"/>
      <c r="T4" s="44"/>
      <c r="U4" s="44"/>
      <c r="V4" s="44"/>
    </row>
    <row r="5" spans="1:22" x14ac:dyDescent="0.35">
      <c r="A5" s="209"/>
      <c r="B5" s="209"/>
      <c r="C5" s="209"/>
      <c r="D5" s="209"/>
      <c r="E5" s="209"/>
      <c r="F5" s="209"/>
      <c r="G5" s="1840"/>
      <c r="H5" s="1840"/>
      <c r="I5" s="1840"/>
      <c r="J5" s="1840"/>
      <c r="K5" s="1840"/>
      <c r="L5" s="1840"/>
      <c r="M5" s="1840"/>
      <c r="N5" s="1840"/>
      <c r="O5" s="1840"/>
      <c r="P5" s="1840"/>
      <c r="Q5" s="687"/>
      <c r="R5" s="687"/>
      <c r="S5" s="164"/>
      <c r="T5" s="687"/>
      <c r="U5" s="687"/>
      <c r="V5" s="687"/>
    </row>
    <row r="6" spans="1:22" s="210" customFormat="1" ht="15.5" x14ac:dyDescent="0.35">
      <c r="A6" s="843" t="str">
        <f>(brew1_abb&amp;" Data")</f>
        <v>MAIN Data</v>
      </c>
      <c r="B6" s="844"/>
      <c r="C6" s="226"/>
      <c r="D6" s="226"/>
      <c r="E6" s="226"/>
      <c r="F6" s="226"/>
      <c r="G6" s="223"/>
      <c r="H6" s="690"/>
      <c r="I6" s="690"/>
      <c r="J6" s="690"/>
      <c r="K6" s="690"/>
      <c r="L6" s="690"/>
      <c r="M6" s="690"/>
      <c r="N6" s="690"/>
      <c r="O6" s="690"/>
      <c r="P6" s="690"/>
      <c r="Q6" s="690"/>
      <c r="R6" s="690"/>
      <c r="S6" s="687"/>
      <c r="T6" s="690"/>
      <c r="U6" s="690"/>
      <c r="V6" s="690"/>
    </row>
    <row r="7" spans="1:22" ht="15" thickBot="1" x14ac:dyDescent="0.4">
      <c r="A7" s="832"/>
      <c r="B7" s="1844" t="str">
        <f>(brewery1_name&amp;" Total Electricity Usage")</f>
        <v>Main Brewery Total Electricity Usage</v>
      </c>
      <c r="C7" s="1845"/>
      <c r="D7" s="1845"/>
      <c r="E7" s="1846"/>
      <c r="F7" s="846"/>
      <c r="G7" s="846"/>
      <c r="H7" s="763"/>
      <c r="I7" s="1836"/>
      <c r="J7" s="1839"/>
      <c r="K7" s="1839"/>
      <c r="L7" s="1839"/>
      <c r="M7" s="1839"/>
      <c r="N7" s="1839"/>
      <c r="O7" s="1845"/>
      <c r="P7" s="776"/>
      <c r="Q7" s="687"/>
      <c r="R7" s="687"/>
      <c r="S7" s="687"/>
      <c r="T7" s="687"/>
      <c r="U7" s="687"/>
      <c r="V7" s="687"/>
    </row>
    <row r="8" spans="1:22" x14ac:dyDescent="0.35">
      <c r="A8" s="111"/>
      <c r="B8" s="1206" t="s">
        <v>434</v>
      </c>
      <c r="C8" s="1206" t="s">
        <v>435</v>
      </c>
      <c r="D8" s="1206" t="s">
        <v>436</v>
      </c>
      <c r="E8" s="1206" t="s">
        <v>169</v>
      </c>
      <c r="F8" s="1209"/>
      <c r="G8" s="1209"/>
      <c r="H8" s="689"/>
      <c r="I8" s="229" t="s">
        <v>435</v>
      </c>
      <c r="J8" s="723" t="s">
        <v>437</v>
      </c>
      <c r="K8" s="723" t="s">
        <v>438</v>
      </c>
      <c r="L8" s="723" t="s">
        <v>439</v>
      </c>
      <c r="M8" s="723" t="s">
        <v>440</v>
      </c>
      <c r="N8" s="1192" t="s">
        <v>441</v>
      </c>
      <c r="O8" s="1202" t="s">
        <v>442</v>
      </c>
      <c r="P8" s="20"/>
      <c r="Q8" s="687"/>
      <c r="R8" s="687"/>
      <c r="S8" s="687"/>
      <c r="T8" s="687"/>
      <c r="U8" s="687"/>
      <c r="V8" s="687"/>
    </row>
    <row r="9" spans="1:22" x14ac:dyDescent="0.35">
      <c r="A9" s="111"/>
      <c r="B9" s="1191">
        <f t="shared" ref="B9:B20" si="0">ghg_year</f>
        <v>2020</v>
      </c>
      <c r="C9" s="1193" t="s">
        <v>443</v>
      </c>
      <c r="D9" s="1215">
        <f t="shared" ref="D9:D20" si="1">O9</f>
        <v>185000</v>
      </c>
      <c r="E9" s="1413" t="s">
        <v>195</v>
      </c>
      <c r="F9" s="1190"/>
      <c r="G9" s="1210"/>
      <c r="H9" s="689"/>
      <c r="I9" s="1193" t="s">
        <v>443</v>
      </c>
      <c r="J9" s="646">
        <v>125000</v>
      </c>
      <c r="K9" s="646">
        <v>35000</v>
      </c>
      <c r="L9" s="646">
        <v>20000</v>
      </c>
      <c r="M9" s="646">
        <v>5000</v>
      </c>
      <c r="N9" s="646"/>
      <c r="O9" s="1201">
        <f>SUM(J9:N9)</f>
        <v>185000</v>
      </c>
      <c r="P9" s="20"/>
      <c r="Q9" s="687"/>
      <c r="R9" s="687"/>
      <c r="S9" s="687"/>
      <c r="T9" s="687"/>
      <c r="U9" s="687"/>
      <c r="V9" s="687"/>
    </row>
    <row r="10" spans="1:22" x14ac:dyDescent="0.35">
      <c r="A10" s="111"/>
      <c r="B10" s="1191">
        <f t="shared" si="0"/>
        <v>2020</v>
      </c>
      <c r="C10" s="1194" t="s">
        <v>444</v>
      </c>
      <c r="D10" s="1215">
        <f t="shared" si="1"/>
        <v>185000</v>
      </c>
      <c r="E10" s="1414" t="s">
        <v>195</v>
      </c>
      <c r="F10" s="1190"/>
      <c r="G10" s="1210"/>
      <c r="H10" s="689"/>
      <c r="I10" s="1194" t="s">
        <v>444</v>
      </c>
      <c r="J10" s="646">
        <v>125000</v>
      </c>
      <c r="K10" s="646">
        <v>35000</v>
      </c>
      <c r="L10" s="646">
        <v>20000</v>
      </c>
      <c r="M10" s="646">
        <v>5000</v>
      </c>
      <c r="N10" s="646"/>
      <c r="O10" s="1204">
        <f t="shared" ref="O10:O20" si="2">SUM(J10:N10)</f>
        <v>185000</v>
      </c>
      <c r="P10" s="20"/>
      <c r="Q10" s="687"/>
      <c r="R10" s="687"/>
      <c r="S10" s="687"/>
      <c r="T10" s="687"/>
      <c r="U10" s="687"/>
      <c r="V10" s="687"/>
    </row>
    <row r="11" spans="1:22" x14ac:dyDescent="0.35">
      <c r="A11" s="111"/>
      <c r="B11" s="1191">
        <f t="shared" si="0"/>
        <v>2020</v>
      </c>
      <c r="C11" s="1194" t="s">
        <v>445</v>
      </c>
      <c r="D11" s="1215">
        <f t="shared" si="1"/>
        <v>185000</v>
      </c>
      <c r="E11" s="1414" t="s">
        <v>195</v>
      </c>
      <c r="F11" s="1190"/>
      <c r="G11" s="1210"/>
      <c r="H11" s="689"/>
      <c r="I11" s="1194" t="s">
        <v>445</v>
      </c>
      <c r="J11" s="646">
        <v>125000</v>
      </c>
      <c r="K11" s="646">
        <v>35000</v>
      </c>
      <c r="L11" s="646">
        <v>20000</v>
      </c>
      <c r="M11" s="646">
        <v>5000</v>
      </c>
      <c r="N11" s="646"/>
      <c r="O11" s="1204">
        <f t="shared" si="2"/>
        <v>185000</v>
      </c>
      <c r="P11" s="20"/>
      <c r="Q11" s="687"/>
      <c r="R11" s="687"/>
      <c r="S11" s="687"/>
      <c r="T11" s="687"/>
      <c r="U11" s="687"/>
      <c r="V11" s="687"/>
    </row>
    <row r="12" spans="1:22" x14ac:dyDescent="0.35">
      <c r="A12" s="111"/>
      <c r="B12" s="1191">
        <f t="shared" si="0"/>
        <v>2020</v>
      </c>
      <c r="C12" s="1194" t="s">
        <v>446</v>
      </c>
      <c r="D12" s="1215">
        <f t="shared" si="1"/>
        <v>185000</v>
      </c>
      <c r="E12" s="1414" t="s">
        <v>195</v>
      </c>
      <c r="F12" s="1190"/>
      <c r="G12" s="1210"/>
      <c r="H12" s="689"/>
      <c r="I12" s="1194" t="s">
        <v>446</v>
      </c>
      <c r="J12" s="646">
        <v>125000</v>
      </c>
      <c r="K12" s="646">
        <v>35000</v>
      </c>
      <c r="L12" s="646">
        <v>20000</v>
      </c>
      <c r="M12" s="646">
        <v>5000</v>
      </c>
      <c r="N12" s="646"/>
      <c r="O12" s="1204">
        <f t="shared" si="2"/>
        <v>185000</v>
      </c>
      <c r="P12" s="20"/>
      <c r="Q12" s="687"/>
      <c r="R12" s="687"/>
      <c r="S12" s="687"/>
      <c r="T12" s="687"/>
      <c r="U12" s="687"/>
      <c r="V12" s="687"/>
    </row>
    <row r="13" spans="1:22" x14ac:dyDescent="0.35">
      <c r="A13" s="111"/>
      <c r="B13" s="1191">
        <f t="shared" si="0"/>
        <v>2020</v>
      </c>
      <c r="C13" s="1194" t="s">
        <v>447</v>
      </c>
      <c r="D13" s="1215">
        <f t="shared" si="1"/>
        <v>185000</v>
      </c>
      <c r="E13" s="1414" t="s">
        <v>195</v>
      </c>
      <c r="F13" s="1190"/>
      <c r="G13" s="1210"/>
      <c r="H13" s="689"/>
      <c r="I13" s="1194" t="s">
        <v>447</v>
      </c>
      <c r="J13" s="646">
        <v>125000</v>
      </c>
      <c r="K13" s="646">
        <v>35000</v>
      </c>
      <c r="L13" s="646">
        <v>20000</v>
      </c>
      <c r="M13" s="646">
        <v>5000</v>
      </c>
      <c r="N13" s="646"/>
      <c r="O13" s="1204">
        <f t="shared" si="2"/>
        <v>185000</v>
      </c>
      <c r="P13" s="20"/>
      <c r="Q13" s="687"/>
      <c r="R13" s="687"/>
      <c r="S13" s="687"/>
      <c r="T13" s="687"/>
      <c r="U13" s="687"/>
      <c r="V13" s="687"/>
    </row>
    <row r="14" spans="1:22" x14ac:dyDescent="0.35">
      <c r="A14" s="111"/>
      <c r="B14" s="1191">
        <f t="shared" si="0"/>
        <v>2020</v>
      </c>
      <c r="C14" s="1194" t="s">
        <v>448</v>
      </c>
      <c r="D14" s="1215">
        <f t="shared" si="1"/>
        <v>185000</v>
      </c>
      <c r="E14" s="1414" t="s">
        <v>195</v>
      </c>
      <c r="F14" s="1190"/>
      <c r="G14" s="1210"/>
      <c r="H14" s="689"/>
      <c r="I14" s="1194" t="s">
        <v>448</v>
      </c>
      <c r="J14" s="646">
        <v>125000</v>
      </c>
      <c r="K14" s="646">
        <v>35000</v>
      </c>
      <c r="L14" s="646">
        <v>20000</v>
      </c>
      <c r="M14" s="646">
        <v>5000</v>
      </c>
      <c r="N14" s="646"/>
      <c r="O14" s="1204">
        <f t="shared" si="2"/>
        <v>185000</v>
      </c>
      <c r="P14" s="20"/>
      <c r="Q14" s="687"/>
      <c r="R14" s="687"/>
      <c r="S14" s="687"/>
      <c r="T14" s="687"/>
      <c r="U14" s="687"/>
      <c r="V14" s="687"/>
    </row>
    <row r="15" spans="1:22" x14ac:dyDescent="0.35">
      <c r="A15" s="111"/>
      <c r="B15" s="1191">
        <f t="shared" si="0"/>
        <v>2020</v>
      </c>
      <c r="C15" s="1194" t="s">
        <v>449</v>
      </c>
      <c r="D15" s="1215">
        <f t="shared" si="1"/>
        <v>185000</v>
      </c>
      <c r="E15" s="1414" t="s">
        <v>195</v>
      </c>
      <c r="F15" s="1190"/>
      <c r="G15" s="1210"/>
      <c r="H15" s="689"/>
      <c r="I15" s="1194" t="s">
        <v>449</v>
      </c>
      <c r="J15" s="646">
        <v>125000</v>
      </c>
      <c r="K15" s="646">
        <v>35000</v>
      </c>
      <c r="L15" s="646">
        <v>20000</v>
      </c>
      <c r="M15" s="646">
        <v>5000</v>
      </c>
      <c r="N15" s="646"/>
      <c r="O15" s="1204">
        <f t="shared" si="2"/>
        <v>185000</v>
      </c>
      <c r="P15" s="20"/>
      <c r="Q15" s="687"/>
      <c r="R15" s="687"/>
      <c r="S15" s="687"/>
      <c r="T15" s="687"/>
      <c r="U15" s="687"/>
      <c r="V15" s="687"/>
    </row>
    <row r="16" spans="1:22" x14ac:dyDescent="0.35">
      <c r="A16" s="111"/>
      <c r="B16" s="1191">
        <f t="shared" si="0"/>
        <v>2020</v>
      </c>
      <c r="C16" s="1194" t="s">
        <v>450</v>
      </c>
      <c r="D16" s="1215">
        <f t="shared" si="1"/>
        <v>185000</v>
      </c>
      <c r="E16" s="1414" t="s">
        <v>195</v>
      </c>
      <c r="F16" s="1190"/>
      <c r="G16" s="1210"/>
      <c r="H16" s="689"/>
      <c r="I16" s="1194" t="s">
        <v>450</v>
      </c>
      <c r="J16" s="646">
        <v>125000</v>
      </c>
      <c r="K16" s="646">
        <v>35000</v>
      </c>
      <c r="L16" s="646">
        <v>20000</v>
      </c>
      <c r="M16" s="646">
        <v>5000</v>
      </c>
      <c r="N16" s="646"/>
      <c r="O16" s="1204">
        <f t="shared" si="2"/>
        <v>185000</v>
      </c>
      <c r="P16" s="20"/>
      <c r="Q16" s="687"/>
      <c r="R16" s="687"/>
      <c r="S16" s="687"/>
      <c r="T16" s="687"/>
      <c r="U16" s="687"/>
      <c r="V16" s="687"/>
    </row>
    <row r="17" spans="1:16" x14ac:dyDescent="0.35">
      <c r="A17" s="833"/>
      <c r="B17" s="1191">
        <f t="shared" si="0"/>
        <v>2020</v>
      </c>
      <c r="C17" s="1194" t="s">
        <v>451</v>
      </c>
      <c r="D17" s="1215">
        <f t="shared" si="1"/>
        <v>185000</v>
      </c>
      <c r="E17" s="1414" t="s">
        <v>195</v>
      </c>
      <c r="F17" s="1190"/>
      <c r="G17" s="1210"/>
      <c r="H17" s="689"/>
      <c r="I17" s="1194" t="s">
        <v>451</v>
      </c>
      <c r="J17" s="646">
        <v>125000</v>
      </c>
      <c r="K17" s="646">
        <v>35000</v>
      </c>
      <c r="L17" s="646">
        <v>20000</v>
      </c>
      <c r="M17" s="646">
        <v>5000</v>
      </c>
      <c r="N17" s="646"/>
      <c r="O17" s="1204">
        <f t="shared" si="2"/>
        <v>185000</v>
      </c>
      <c r="P17" s="20"/>
    </row>
    <row r="18" spans="1:16" x14ac:dyDescent="0.35">
      <c r="A18" s="833"/>
      <c r="B18" s="1191">
        <f t="shared" si="0"/>
        <v>2020</v>
      </c>
      <c r="C18" s="1194" t="s">
        <v>452</v>
      </c>
      <c r="D18" s="1215">
        <f t="shared" si="1"/>
        <v>185000</v>
      </c>
      <c r="E18" s="1414" t="s">
        <v>195</v>
      </c>
      <c r="F18" s="1190"/>
      <c r="G18" s="1210"/>
      <c r="H18" s="689"/>
      <c r="I18" s="1194" t="s">
        <v>452</v>
      </c>
      <c r="J18" s="646">
        <v>125000</v>
      </c>
      <c r="K18" s="646">
        <v>35000</v>
      </c>
      <c r="L18" s="646">
        <v>20000</v>
      </c>
      <c r="M18" s="646">
        <v>5000</v>
      </c>
      <c r="N18" s="646"/>
      <c r="O18" s="1204">
        <f t="shared" si="2"/>
        <v>185000</v>
      </c>
      <c r="P18" s="20"/>
    </row>
    <row r="19" spans="1:16" x14ac:dyDescent="0.35">
      <c r="A19" s="833"/>
      <c r="B19" s="1191">
        <f t="shared" si="0"/>
        <v>2020</v>
      </c>
      <c r="C19" s="1194" t="s">
        <v>453</v>
      </c>
      <c r="D19" s="1215">
        <f t="shared" si="1"/>
        <v>185000</v>
      </c>
      <c r="E19" s="1414" t="s">
        <v>195</v>
      </c>
      <c r="F19" s="1190"/>
      <c r="G19" s="1210"/>
      <c r="H19" s="689"/>
      <c r="I19" s="1194" t="s">
        <v>453</v>
      </c>
      <c r="J19" s="646">
        <v>125000</v>
      </c>
      <c r="K19" s="646">
        <v>35000</v>
      </c>
      <c r="L19" s="646">
        <v>20000</v>
      </c>
      <c r="M19" s="646">
        <v>5000</v>
      </c>
      <c r="N19" s="646"/>
      <c r="O19" s="1204">
        <f t="shared" si="2"/>
        <v>185000</v>
      </c>
      <c r="P19" s="20"/>
    </row>
    <row r="20" spans="1:16" x14ac:dyDescent="0.35">
      <c r="A20" s="833"/>
      <c r="B20" s="1191">
        <f t="shared" si="0"/>
        <v>2020</v>
      </c>
      <c r="C20" s="1195" t="s">
        <v>454</v>
      </c>
      <c r="D20" s="1215">
        <f t="shared" si="1"/>
        <v>185000</v>
      </c>
      <c r="E20" s="1415" t="s">
        <v>195</v>
      </c>
      <c r="F20" s="1190"/>
      <c r="G20" s="1210"/>
      <c r="H20" s="689"/>
      <c r="I20" s="1195" t="s">
        <v>454</v>
      </c>
      <c r="J20" s="646">
        <v>125000</v>
      </c>
      <c r="K20" s="646">
        <v>35000</v>
      </c>
      <c r="L20" s="646">
        <v>20000</v>
      </c>
      <c r="M20" s="646">
        <v>5000</v>
      </c>
      <c r="N20" s="646"/>
      <c r="O20" s="1205">
        <f t="shared" si="2"/>
        <v>185000</v>
      </c>
      <c r="P20" s="20"/>
    </row>
    <row r="21" spans="1:16" x14ac:dyDescent="0.35">
      <c r="A21" s="833"/>
      <c r="B21" s="232" t="s">
        <v>442</v>
      </c>
      <c r="C21" s="701"/>
      <c r="D21" s="701">
        <f>SUM(D9:D20)</f>
        <v>2220000</v>
      </c>
      <c r="E21" s="1208" t="s">
        <v>195</v>
      </c>
      <c r="F21" s="1211"/>
      <c r="G21" s="1212"/>
      <c r="H21" s="689"/>
      <c r="I21" s="724" t="s">
        <v>442</v>
      </c>
      <c r="J21" s="701">
        <f t="shared" ref="J21:M21" si="3">SUM(J9:J20)</f>
        <v>1500000</v>
      </c>
      <c r="K21" s="701">
        <f t="shared" si="3"/>
        <v>420000</v>
      </c>
      <c r="L21" s="701">
        <f t="shared" si="3"/>
        <v>240000</v>
      </c>
      <c r="M21" s="701">
        <f t="shared" si="3"/>
        <v>60000</v>
      </c>
      <c r="N21" s="701">
        <f>SUM(N9:N20)</f>
        <v>0</v>
      </c>
      <c r="O21" s="1203">
        <f>SUM(O9:O20)</f>
        <v>2220000</v>
      </c>
      <c r="P21" s="20"/>
    </row>
    <row r="22" spans="1:16" x14ac:dyDescent="0.35">
      <c r="A22" s="833"/>
      <c r="B22" s="79"/>
      <c r="C22" s="96"/>
      <c r="D22" s="227"/>
      <c r="E22" s="834"/>
      <c r="F22" s="834"/>
      <c r="G22" s="689"/>
      <c r="H22" s="79"/>
      <c r="I22" s="235"/>
      <c r="J22" s="236"/>
      <c r="K22" s="240"/>
      <c r="L22" s="240"/>
      <c r="M22" s="149"/>
      <c r="N22" s="149"/>
      <c r="O22" s="149"/>
      <c r="P22" s="20"/>
    </row>
    <row r="23" spans="1:16" x14ac:dyDescent="0.35">
      <c r="A23" s="49"/>
      <c r="B23" s="774" t="s">
        <v>455</v>
      </c>
      <c r="C23" s="198"/>
      <c r="D23" s="1396" t="s">
        <v>456</v>
      </c>
      <c r="E23" s="1551" t="s">
        <v>457</v>
      </c>
      <c r="F23" s="75"/>
      <c r="G23" s="43"/>
      <c r="H23" s="43"/>
      <c r="I23" s="236"/>
      <c r="J23" s="240"/>
      <c r="K23" s="240"/>
      <c r="L23" s="149"/>
      <c r="M23" s="149"/>
      <c r="N23" s="149"/>
      <c r="O23" s="689"/>
      <c r="P23" s="20"/>
    </row>
    <row r="24" spans="1:16" ht="15" thickBot="1" x14ac:dyDescent="0.4">
      <c r="A24" s="49"/>
      <c r="B24" s="1836" t="str">
        <f>("CO2 Emissions from Electricity - All Meters "&amp;brew1_abb)</f>
        <v>CO2 Emissions from Electricity - All Meters MAIN</v>
      </c>
      <c r="C24" s="1839"/>
      <c r="D24" s="1839"/>
      <c r="E24" s="1839"/>
      <c r="F24" s="1839"/>
      <c r="G24" s="1839"/>
      <c r="H24" s="1837"/>
      <c r="I24" s="689"/>
      <c r="J24" s="1836" t="s">
        <v>458</v>
      </c>
      <c r="K24" s="1839"/>
      <c r="L24" s="1839"/>
      <c r="M24" s="1839"/>
      <c r="N24" s="1839"/>
      <c r="O24" s="1837"/>
      <c r="P24" s="20"/>
    </row>
    <row r="25" spans="1:16" x14ac:dyDescent="0.35">
      <c r="A25" s="49"/>
      <c r="B25" s="234"/>
      <c r="C25" s="161">
        <f>D21</f>
        <v>2220000</v>
      </c>
      <c r="D25" s="74" t="s">
        <v>459</v>
      </c>
      <c r="E25" s="43"/>
      <c r="F25" s="17"/>
      <c r="G25" s="235"/>
      <c r="H25" s="681"/>
      <c r="I25" s="689"/>
      <c r="J25" s="234"/>
      <c r="K25" s="161">
        <f>D21</f>
        <v>2220000</v>
      </c>
      <c r="L25" s="74" t="s">
        <v>459</v>
      </c>
      <c r="M25" s="43"/>
      <c r="N25" s="17"/>
      <c r="O25" s="681"/>
      <c r="P25" s="20"/>
    </row>
    <row r="26" spans="1:16" x14ac:dyDescent="0.35">
      <c r="A26" s="49"/>
      <c r="B26" s="234"/>
      <c r="C26" s="1196">
        <v>1273.5999999999999</v>
      </c>
      <c r="D26" s="74" t="s">
        <v>460</v>
      </c>
      <c r="E26" s="43"/>
      <c r="F26" s="17"/>
      <c r="G26" s="235"/>
      <c r="H26" s="681"/>
      <c r="I26" s="689"/>
      <c r="J26" s="234"/>
      <c r="K26" s="1197">
        <v>0.123</v>
      </c>
      <c r="L26" s="74" t="s">
        <v>461</v>
      </c>
      <c r="M26" s="43"/>
      <c r="N26" s="17"/>
      <c r="O26" s="681"/>
      <c r="P26" s="20"/>
    </row>
    <row r="27" spans="1:16" x14ac:dyDescent="0.35">
      <c r="A27" s="49"/>
      <c r="B27" s="234"/>
      <c r="C27" s="1198">
        <f>C26/2.2046</f>
        <v>577.70117028032291</v>
      </c>
      <c r="D27" s="74" t="s">
        <v>462</v>
      </c>
      <c r="E27" s="43"/>
      <c r="F27" s="17"/>
      <c r="G27" s="235"/>
      <c r="H27" s="681"/>
      <c r="I27" s="689"/>
      <c r="J27" s="234"/>
      <c r="K27" s="1199">
        <f>K26/2.2046</f>
        <v>5.5792434001632946E-2</v>
      </c>
      <c r="L27" s="74" t="s">
        <v>463</v>
      </c>
      <c r="M27" s="43"/>
      <c r="N27" s="17"/>
      <c r="O27" s="681"/>
      <c r="P27" s="20"/>
    </row>
    <row r="28" spans="1:16" x14ac:dyDescent="0.35">
      <c r="A28" s="49"/>
      <c r="B28" s="234"/>
      <c r="C28" s="1199">
        <f>C27/1000</f>
        <v>0.57770117028032286</v>
      </c>
      <c r="D28" s="74" t="s">
        <v>464</v>
      </c>
      <c r="E28" s="43"/>
      <c r="F28" s="17"/>
      <c r="G28" s="235"/>
      <c r="H28" s="681"/>
      <c r="I28" s="689"/>
      <c r="J28" s="234"/>
      <c r="K28" s="1200">
        <f>K27/1000</f>
        <v>5.5792434001632948E-5</v>
      </c>
      <c r="L28" s="74" t="s">
        <v>465</v>
      </c>
      <c r="M28" s="43"/>
      <c r="N28" s="17"/>
      <c r="O28" s="681"/>
      <c r="P28" s="20"/>
    </row>
    <row r="29" spans="1:16" x14ac:dyDescent="0.35">
      <c r="A29" s="49"/>
      <c r="B29" s="194"/>
      <c r="C29" s="890">
        <f>C25*C28</f>
        <v>1282496.5980223168</v>
      </c>
      <c r="D29" s="73" t="s">
        <v>466</v>
      </c>
      <c r="E29" s="689"/>
      <c r="F29" s="689"/>
      <c r="G29" s="689"/>
      <c r="H29" s="681"/>
      <c r="I29" s="689"/>
      <c r="J29" s="194"/>
      <c r="K29" s="890">
        <f>K25*K28</f>
        <v>123.85920348362515</v>
      </c>
      <c r="L29" s="73" t="s">
        <v>467</v>
      </c>
      <c r="M29" s="689"/>
      <c r="N29" s="689"/>
      <c r="O29" s="681"/>
      <c r="P29" s="20"/>
    </row>
    <row r="30" spans="1:16" ht="15" thickBot="1" x14ac:dyDescent="0.4">
      <c r="A30" s="49"/>
      <c r="B30" s="194"/>
      <c r="C30" s="1555">
        <v>1</v>
      </c>
      <c r="D30" s="73" t="s">
        <v>122</v>
      </c>
      <c r="E30" s="689"/>
      <c r="F30" s="689"/>
      <c r="G30" s="689"/>
      <c r="H30" s="681"/>
      <c r="I30" s="689"/>
      <c r="J30" s="284"/>
      <c r="K30" s="1555">
        <v>28</v>
      </c>
      <c r="L30" s="73" t="s">
        <v>122</v>
      </c>
      <c r="M30" s="689"/>
      <c r="N30" s="689"/>
      <c r="O30" s="681"/>
      <c r="P30" s="20"/>
    </row>
    <row r="31" spans="1:16" ht="15" thickBot="1" x14ac:dyDescent="0.4">
      <c r="A31" s="49"/>
      <c r="B31" s="289"/>
      <c r="C31" s="869">
        <f>C29*C30</f>
        <v>1282496.5980223168</v>
      </c>
      <c r="D31" s="285" t="s">
        <v>468</v>
      </c>
      <c r="E31" s="283"/>
      <c r="F31" s="282"/>
      <c r="G31" s="235"/>
      <c r="H31" s="681"/>
      <c r="I31" s="689"/>
      <c r="J31" s="284"/>
      <c r="K31" s="869">
        <f>K29*K30</f>
        <v>3468.0576975415042</v>
      </c>
      <c r="L31" s="285" t="s">
        <v>469</v>
      </c>
      <c r="M31" s="283"/>
      <c r="N31" s="282"/>
      <c r="O31" s="681"/>
      <c r="P31" s="20"/>
    </row>
    <row r="32" spans="1:16" x14ac:dyDescent="0.35">
      <c r="A32" s="49"/>
      <c r="B32" s="284"/>
      <c r="C32" s="870">
        <f>C31*2.2046</f>
        <v>2827392</v>
      </c>
      <c r="D32" s="287" t="s">
        <v>470</v>
      </c>
      <c r="E32" s="219"/>
      <c r="F32" s="219"/>
      <c r="G32" s="235"/>
      <c r="H32" s="681"/>
      <c r="I32" s="689"/>
      <c r="J32" s="284"/>
      <c r="K32" s="870">
        <f>K31*2.2046</f>
        <v>7645.68</v>
      </c>
      <c r="L32" s="287" t="s">
        <v>471</v>
      </c>
      <c r="M32" s="219"/>
      <c r="N32" s="219"/>
      <c r="O32" s="681"/>
      <c r="P32" s="20"/>
    </row>
    <row r="33" spans="1:16" x14ac:dyDescent="0.35">
      <c r="A33" s="49"/>
      <c r="B33" s="284"/>
      <c r="C33" s="871">
        <f>C32/2000</f>
        <v>1413.6959999999999</v>
      </c>
      <c r="D33" s="323" t="s">
        <v>472</v>
      </c>
      <c r="E33" s="324"/>
      <c r="F33" s="218"/>
      <c r="G33" s="235"/>
      <c r="H33" s="681"/>
      <c r="I33" s="689"/>
      <c r="J33" s="327"/>
      <c r="K33" s="871">
        <f>K32/2000</f>
        <v>3.8228400000000002</v>
      </c>
      <c r="L33" s="323" t="s">
        <v>473</v>
      </c>
      <c r="M33" s="324"/>
      <c r="N33" s="218"/>
      <c r="O33" s="681"/>
      <c r="P33" s="20"/>
    </row>
    <row r="34" spans="1:16" ht="15" thickBot="1" x14ac:dyDescent="0.4">
      <c r="A34" s="49"/>
      <c r="B34" s="284"/>
      <c r="C34" s="633">
        <f>'Brewery-Control Data'!$B$10</f>
        <v>123215.153565</v>
      </c>
      <c r="D34" s="634" t="s">
        <v>276</v>
      </c>
      <c r="E34" s="288"/>
      <c r="F34" s="457"/>
      <c r="G34" s="235"/>
      <c r="H34" s="681"/>
      <c r="I34" s="689"/>
      <c r="J34" s="327"/>
      <c r="K34" s="633">
        <f>'Brewery-Control Data'!$B$10</f>
        <v>123215.153565</v>
      </c>
      <c r="L34" s="634" t="s">
        <v>276</v>
      </c>
      <c r="M34" s="288"/>
      <c r="N34" s="457"/>
      <c r="O34" s="681"/>
      <c r="P34" s="20"/>
    </row>
    <row r="35" spans="1:16" ht="15" thickBot="1" x14ac:dyDescent="0.4">
      <c r="A35" s="49"/>
      <c r="B35" s="290"/>
      <c r="C35" s="441">
        <f>C31/C34</f>
        <v>10.408594729752604</v>
      </c>
      <c r="D35" s="442" t="s">
        <v>474</v>
      </c>
      <c r="E35" s="328"/>
      <c r="F35" s="329"/>
      <c r="G35" s="228"/>
      <c r="H35" s="179"/>
      <c r="I35" s="689"/>
      <c r="J35" s="241"/>
      <c r="K35" s="443">
        <f>K31/K34</f>
        <v>2.8146356979638798E-2</v>
      </c>
      <c r="L35" s="442" t="s">
        <v>475</v>
      </c>
      <c r="M35" s="328"/>
      <c r="N35" s="329"/>
      <c r="O35" s="179"/>
      <c r="P35" s="20"/>
    </row>
    <row r="36" spans="1:16" ht="15" thickBot="1" x14ac:dyDescent="0.4">
      <c r="A36" s="49"/>
      <c r="B36" s="198"/>
      <c r="C36" s="199"/>
      <c r="D36" s="237"/>
      <c r="E36" s="75"/>
      <c r="F36" s="43"/>
      <c r="G36" s="43"/>
      <c r="H36" s="235"/>
      <c r="I36" s="689"/>
      <c r="J36" s="240"/>
      <c r="K36" s="240"/>
      <c r="L36" s="149"/>
      <c r="M36" s="149"/>
      <c r="N36" s="149"/>
      <c r="O36" s="689"/>
      <c r="P36" s="20"/>
    </row>
    <row r="37" spans="1:16" ht="15" thickBot="1" x14ac:dyDescent="0.4">
      <c r="A37" s="49"/>
      <c r="B37" s="1836" t="s">
        <v>476</v>
      </c>
      <c r="C37" s="1839"/>
      <c r="D37" s="1839"/>
      <c r="E37" s="1839"/>
      <c r="F37" s="1839"/>
      <c r="G37" s="1839"/>
      <c r="H37" s="1837"/>
      <c r="I37" s="689"/>
      <c r="J37" s="689"/>
      <c r="K37" s="689"/>
      <c r="L37" s="689"/>
      <c r="M37" s="689"/>
      <c r="N37" s="689"/>
      <c r="O37" s="689"/>
      <c r="P37" s="20"/>
    </row>
    <row r="38" spans="1:16" x14ac:dyDescent="0.35">
      <c r="A38" s="49"/>
      <c r="B38" s="234"/>
      <c r="C38" s="161">
        <f>D21</f>
        <v>2220000</v>
      </c>
      <c r="D38" s="74" t="s">
        <v>459</v>
      </c>
      <c r="E38" s="43"/>
      <c r="F38" s="17"/>
      <c r="G38" s="235"/>
      <c r="H38" s="681"/>
      <c r="I38" s="689"/>
      <c r="J38" s="689"/>
      <c r="K38" s="689"/>
      <c r="L38" s="689"/>
      <c r="M38" s="689"/>
      <c r="N38" s="689"/>
      <c r="O38" s="689"/>
      <c r="P38" s="20"/>
    </row>
    <row r="39" spans="1:16" ht="15" thickBot="1" x14ac:dyDescent="0.4">
      <c r="A39" s="49"/>
      <c r="B39" s="234"/>
      <c r="C39" s="1197">
        <v>1.7999999999999999E-2</v>
      </c>
      <c r="D39" s="74" t="s">
        <v>477</v>
      </c>
      <c r="E39" s="43"/>
      <c r="F39" s="17"/>
      <c r="G39" s="235"/>
      <c r="H39" s="681"/>
      <c r="I39" s="689"/>
      <c r="J39" s="689"/>
      <c r="K39" s="689"/>
      <c r="L39" s="689"/>
      <c r="M39" s="689"/>
      <c r="N39" s="689"/>
      <c r="O39" s="689"/>
      <c r="P39" s="20"/>
    </row>
    <row r="40" spans="1:16" ht="15" thickBot="1" x14ac:dyDescent="0.4">
      <c r="A40" s="49"/>
      <c r="B40" s="234"/>
      <c r="C40" s="1199">
        <f>C39/2.2046</f>
        <v>8.1647464392633571E-3</v>
      </c>
      <c r="D40" s="74" t="s">
        <v>478</v>
      </c>
      <c r="E40" s="43"/>
      <c r="F40" s="17"/>
      <c r="G40" s="235"/>
      <c r="H40" s="681"/>
      <c r="I40" s="689"/>
      <c r="J40" s="1836" t="s">
        <v>479</v>
      </c>
      <c r="K40" s="1839"/>
      <c r="L40" s="1839"/>
      <c r="M40" s="1839"/>
      <c r="N40" s="1839"/>
      <c r="O40" s="1837"/>
      <c r="P40" s="20"/>
    </row>
    <row r="41" spans="1:16" ht="15" thickBot="1" x14ac:dyDescent="0.4">
      <c r="A41" s="49"/>
      <c r="B41" s="234"/>
      <c r="C41" s="1200">
        <f>C40/1000</f>
        <v>8.1647464392633573E-6</v>
      </c>
      <c r="D41" s="74" t="s">
        <v>480</v>
      </c>
      <c r="E41" s="43"/>
      <c r="F41" s="17"/>
      <c r="G41" s="235"/>
      <c r="H41" s="681"/>
      <c r="I41" s="689"/>
      <c r="J41" s="327"/>
      <c r="K41" s="869">
        <f>C31+K31+C44</f>
        <v>1291366.1253742175</v>
      </c>
      <c r="L41" s="285" t="s">
        <v>481</v>
      </c>
      <c r="M41" s="283"/>
      <c r="N41" s="282"/>
      <c r="O41" s="681"/>
      <c r="P41" s="835"/>
    </row>
    <row r="42" spans="1:16" ht="15" thickBot="1" x14ac:dyDescent="0.4">
      <c r="A42" s="49"/>
      <c r="B42" s="234"/>
      <c r="C42" s="890">
        <f>C38*C41</f>
        <v>18.125737095164652</v>
      </c>
      <c r="D42" s="73" t="s">
        <v>482</v>
      </c>
      <c r="E42" s="689"/>
      <c r="F42" s="689"/>
      <c r="G42" s="235"/>
      <c r="H42" s="681"/>
      <c r="I42" s="689"/>
      <c r="J42" s="327"/>
      <c r="K42" s="633">
        <f>'Brewery-Control Data'!$B$10</f>
        <v>123215.153565</v>
      </c>
      <c r="L42" s="326" t="s">
        <v>276</v>
      </c>
      <c r="M42" s="149"/>
      <c r="N42" s="689"/>
      <c r="O42" s="681"/>
      <c r="P42" s="20"/>
    </row>
    <row r="43" spans="1:16" ht="15" thickBot="1" x14ac:dyDescent="0.4">
      <c r="A43" s="49"/>
      <c r="B43" s="234"/>
      <c r="C43" s="1556">
        <v>298</v>
      </c>
      <c r="D43" s="73" t="s">
        <v>122</v>
      </c>
      <c r="E43" s="689"/>
      <c r="F43" s="689"/>
      <c r="G43" s="235"/>
      <c r="H43" s="681"/>
      <c r="I43" s="689"/>
      <c r="J43" s="241"/>
      <c r="K43" s="441">
        <f>K41/K42</f>
        <v>10.480578792550705</v>
      </c>
      <c r="L43" s="442" t="s">
        <v>483</v>
      </c>
      <c r="M43" s="328"/>
      <c r="N43" s="329"/>
      <c r="O43" s="179"/>
      <c r="P43" s="20"/>
    </row>
    <row r="44" spans="1:16" ht="15" thickBot="1" x14ac:dyDescent="0.4">
      <c r="A44" s="49"/>
      <c r="B44" s="291"/>
      <c r="C44" s="869">
        <f>C42*C43</f>
        <v>5401.4696543590662</v>
      </c>
      <c r="D44" s="285" t="s">
        <v>484</v>
      </c>
      <c r="E44" s="283"/>
      <c r="F44" s="283"/>
      <c r="G44" s="282"/>
      <c r="H44" s="681"/>
      <c r="I44" s="689"/>
      <c r="J44" s="728"/>
      <c r="K44" s="729"/>
      <c r="L44" s="730"/>
      <c r="M44" s="83"/>
      <c r="N44" s="83"/>
      <c r="O44" s="83"/>
      <c r="P44" s="20"/>
    </row>
    <row r="45" spans="1:16" x14ac:dyDescent="0.35">
      <c r="A45" s="49"/>
      <c r="B45" s="291"/>
      <c r="C45" s="870">
        <f>C44*2.2046</f>
        <v>11908.079999999998</v>
      </c>
      <c r="D45" s="287" t="s">
        <v>485</v>
      </c>
      <c r="E45" s="219"/>
      <c r="F45" s="219"/>
      <c r="G45" s="219"/>
      <c r="H45" s="681"/>
      <c r="I45" s="689"/>
      <c r="J45" s="728"/>
      <c r="K45" s="726"/>
      <c r="L45" s="727"/>
      <c r="M45" s="288"/>
      <c r="N45" s="457"/>
      <c r="O45" s="457"/>
      <c r="P45" s="20"/>
    </row>
    <row r="46" spans="1:16" x14ac:dyDescent="0.35">
      <c r="A46" s="49"/>
      <c r="B46" s="291"/>
      <c r="C46" s="871">
        <f>C45/2000</f>
        <v>5.9540399999999991</v>
      </c>
      <c r="D46" s="323" t="s">
        <v>486</v>
      </c>
      <c r="E46" s="324"/>
      <c r="F46" s="218"/>
      <c r="G46" s="218"/>
      <c r="H46" s="681"/>
      <c r="I46" s="689"/>
      <c r="J46" s="728"/>
      <c r="K46" s="731"/>
      <c r="L46" s="727"/>
      <c r="M46" s="288"/>
      <c r="N46" s="457"/>
      <c r="O46" s="457"/>
      <c r="P46" s="20"/>
    </row>
    <row r="47" spans="1:16" ht="15" thickBot="1" x14ac:dyDescent="0.4">
      <c r="A47" s="49"/>
      <c r="B47" s="194"/>
      <c r="C47" s="633">
        <f>'Brewery-Control Data'!$B$10</f>
        <v>123215.153565</v>
      </c>
      <c r="D47" s="634" t="s">
        <v>276</v>
      </c>
      <c r="E47" s="75"/>
      <c r="F47" s="43"/>
      <c r="G47" s="43"/>
      <c r="H47" s="681"/>
      <c r="I47" s="236"/>
      <c r="J47" s="240"/>
      <c r="K47" s="240"/>
      <c r="L47" s="149"/>
      <c r="M47" s="149"/>
      <c r="N47" s="149"/>
      <c r="O47" s="689"/>
      <c r="P47" s="20"/>
    </row>
    <row r="48" spans="1:16" ht="15" thickBot="1" x14ac:dyDescent="0.4">
      <c r="A48" s="836"/>
      <c r="B48" s="837"/>
      <c r="C48" s="441">
        <f>C44/C47</f>
        <v>4.383770581846181E-2</v>
      </c>
      <c r="D48" s="442" t="s">
        <v>487</v>
      </c>
      <c r="E48" s="328"/>
      <c r="F48" s="437"/>
      <c r="G48" s="329"/>
      <c r="H48" s="838"/>
      <c r="I48" s="839"/>
      <c r="J48" s="840"/>
      <c r="K48" s="840"/>
      <c r="L48" s="775"/>
      <c r="M48" s="775"/>
      <c r="N48" s="775"/>
      <c r="O48" s="774"/>
      <c r="P48" s="841"/>
    </row>
    <row r="49" spans="1:16" s="687" customFormat="1" ht="15" thickBot="1" x14ac:dyDescent="0.4">
      <c r="B49" s="689"/>
      <c r="C49" s="747"/>
      <c r="D49" s="727"/>
      <c r="E49" s="288"/>
      <c r="F49" s="457"/>
      <c r="G49" s="457"/>
      <c r="H49" s="689"/>
      <c r="I49" s="236"/>
      <c r="J49" s="165"/>
      <c r="K49" s="165"/>
      <c r="L49" s="81"/>
      <c r="M49" s="81"/>
      <c r="N49" s="81"/>
    </row>
    <row r="50" spans="1:16" ht="16" thickBot="1" x14ac:dyDescent="0.4">
      <c r="A50" s="842" t="str">
        <f>(brew2_abb&amp;" Data")</f>
        <v>2ND Data</v>
      </c>
      <c r="B50" s="844"/>
      <c r="C50" s="198"/>
      <c r="D50" s="199"/>
      <c r="E50" s="237"/>
      <c r="F50" s="75"/>
      <c r="G50" s="43"/>
      <c r="H50" s="43"/>
      <c r="I50" s="235"/>
      <c r="J50" s="236"/>
      <c r="K50" s="165"/>
      <c r="L50" s="165"/>
      <c r="M50" s="81"/>
      <c r="N50" s="81"/>
      <c r="O50" s="81"/>
      <c r="P50" s="687"/>
    </row>
    <row r="51" spans="1:16" s="687" customFormat="1" ht="15" thickBot="1" x14ac:dyDescent="0.4">
      <c r="A51" s="810"/>
      <c r="B51" s="1847" t="str">
        <f>brewery2_name</f>
        <v>Second Brewery</v>
      </c>
      <c r="C51" s="1845"/>
      <c r="D51" s="1845"/>
      <c r="E51" s="1845"/>
      <c r="F51" s="846"/>
      <c r="G51" s="846"/>
      <c r="H51" s="763"/>
      <c r="I51" s="1836" t="s">
        <v>488</v>
      </c>
      <c r="J51" s="1839"/>
      <c r="K51" s="1839"/>
      <c r="L51" s="1839"/>
      <c r="M51" s="1839"/>
      <c r="N51" s="1839"/>
      <c r="O51" s="846"/>
      <c r="P51" s="776"/>
    </row>
    <row r="52" spans="1:16" s="687" customFormat="1" x14ac:dyDescent="0.35">
      <c r="A52" s="49"/>
      <c r="B52" s="1206" t="s">
        <v>434</v>
      </c>
      <c r="C52" s="1206" t="s">
        <v>435</v>
      </c>
      <c r="D52" s="1206" t="s">
        <v>436</v>
      </c>
      <c r="E52" s="1206" t="s">
        <v>169</v>
      </c>
      <c r="F52" s="1209"/>
      <c r="G52" s="1209"/>
      <c r="H52" s="689"/>
      <c r="I52" s="229" t="s">
        <v>435</v>
      </c>
      <c r="J52" s="723" t="s">
        <v>437</v>
      </c>
      <c r="K52" s="723" t="s">
        <v>438</v>
      </c>
      <c r="L52" s="723" t="s">
        <v>439</v>
      </c>
      <c r="M52" s="723" t="s">
        <v>440</v>
      </c>
      <c r="N52" s="723" t="s">
        <v>489</v>
      </c>
      <c r="O52" s="689"/>
      <c r="P52" s="20"/>
    </row>
    <row r="53" spans="1:16" s="687" customFormat="1" x14ac:dyDescent="0.35">
      <c r="A53" s="49"/>
      <c r="B53" s="1191">
        <f t="shared" ref="B53:B64" si="4">ghg_year</f>
        <v>2020</v>
      </c>
      <c r="C53" s="1193" t="s">
        <v>443</v>
      </c>
      <c r="D53" s="1215">
        <f>N53</f>
        <v>143000</v>
      </c>
      <c r="E53" s="1207" t="s">
        <v>195</v>
      </c>
      <c r="F53" s="1190"/>
      <c r="G53" s="1210"/>
      <c r="H53" s="689"/>
      <c r="I53" s="1193" t="s">
        <v>443</v>
      </c>
      <c r="J53" s="646">
        <v>105000</v>
      </c>
      <c r="K53" s="646">
        <v>25000</v>
      </c>
      <c r="L53" s="646">
        <v>10000</v>
      </c>
      <c r="M53" s="646">
        <v>3000</v>
      </c>
      <c r="N53" s="1213">
        <f>SUM(J53:M53)</f>
        <v>143000</v>
      </c>
      <c r="O53" s="689"/>
      <c r="P53" s="20"/>
    </row>
    <row r="54" spans="1:16" s="687" customFormat="1" x14ac:dyDescent="0.35">
      <c r="A54" s="49"/>
      <c r="B54" s="1191">
        <f t="shared" si="4"/>
        <v>2020</v>
      </c>
      <c r="C54" s="1194" t="s">
        <v>444</v>
      </c>
      <c r="D54" s="1215">
        <f t="shared" ref="D54:D64" si="5">N54</f>
        <v>143000</v>
      </c>
      <c r="E54" s="1207" t="s">
        <v>195</v>
      </c>
      <c r="F54" s="1190"/>
      <c r="G54" s="1210"/>
      <c r="H54" s="689"/>
      <c r="I54" s="1194" t="s">
        <v>444</v>
      </c>
      <c r="J54" s="646">
        <v>105000</v>
      </c>
      <c r="K54" s="646">
        <v>25000</v>
      </c>
      <c r="L54" s="646">
        <v>10000</v>
      </c>
      <c r="M54" s="646">
        <v>3000</v>
      </c>
      <c r="N54" s="1214">
        <f>SUM(J54:M54)</f>
        <v>143000</v>
      </c>
      <c r="O54" s="689"/>
      <c r="P54" s="20"/>
    </row>
    <row r="55" spans="1:16" s="687" customFormat="1" x14ac:dyDescent="0.35">
      <c r="A55" s="49"/>
      <c r="B55" s="1191">
        <f t="shared" si="4"/>
        <v>2020</v>
      </c>
      <c r="C55" s="1194" t="s">
        <v>445</v>
      </c>
      <c r="D55" s="1215">
        <f t="shared" si="5"/>
        <v>143000</v>
      </c>
      <c r="E55" s="1207" t="s">
        <v>195</v>
      </c>
      <c r="F55" s="1190"/>
      <c r="G55" s="1210"/>
      <c r="H55" s="689"/>
      <c r="I55" s="1194" t="s">
        <v>445</v>
      </c>
      <c r="J55" s="646">
        <v>105000</v>
      </c>
      <c r="K55" s="646">
        <v>25000</v>
      </c>
      <c r="L55" s="646">
        <v>10000</v>
      </c>
      <c r="M55" s="646">
        <v>3000</v>
      </c>
      <c r="N55" s="1214">
        <f t="shared" ref="N55:N64" si="6">SUM(J55:M55)</f>
        <v>143000</v>
      </c>
      <c r="O55" s="689"/>
      <c r="P55" s="20"/>
    </row>
    <row r="56" spans="1:16" s="687" customFormat="1" x14ac:dyDescent="0.35">
      <c r="A56" s="49"/>
      <c r="B56" s="1191">
        <f t="shared" si="4"/>
        <v>2020</v>
      </c>
      <c r="C56" s="1194" t="s">
        <v>446</v>
      </c>
      <c r="D56" s="1215">
        <f t="shared" si="5"/>
        <v>143000</v>
      </c>
      <c r="E56" s="1207" t="s">
        <v>195</v>
      </c>
      <c r="F56" s="1190"/>
      <c r="G56" s="1210"/>
      <c r="H56" s="689"/>
      <c r="I56" s="1194" t="s">
        <v>446</v>
      </c>
      <c r="J56" s="646">
        <v>105000</v>
      </c>
      <c r="K56" s="646">
        <v>25000</v>
      </c>
      <c r="L56" s="646">
        <v>10000</v>
      </c>
      <c r="M56" s="646">
        <v>3000</v>
      </c>
      <c r="N56" s="1214">
        <f t="shared" si="6"/>
        <v>143000</v>
      </c>
      <c r="O56" s="689"/>
      <c r="P56" s="20"/>
    </row>
    <row r="57" spans="1:16" s="687" customFormat="1" x14ac:dyDescent="0.35">
      <c r="A57" s="49"/>
      <c r="B57" s="1191">
        <f t="shared" si="4"/>
        <v>2020</v>
      </c>
      <c r="C57" s="1194" t="s">
        <v>447</v>
      </c>
      <c r="D57" s="1215">
        <f t="shared" si="5"/>
        <v>143000</v>
      </c>
      <c r="E57" s="1207" t="s">
        <v>195</v>
      </c>
      <c r="F57" s="1190"/>
      <c r="G57" s="1210"/>
      <c r="H57" s="689"/>
      <c r="I57" s="1194" t="s">
        <v>447</v>
      </c>
      <c r="J57" s="646">
        <v>105000</v>
      </c>
      <c r="K57" s="646">
        <v>25000</v>
      </c>
      <c r="L57" s="646">
        <v>10000</v>
      </c>
      <c r="M57" s="646">
        <v>3000</v>
      </c>
      <c r="N57" s="1214">
        <f t="shared" si="6"/>
        <v>143000</v>
      </c>
      <c r="O57" s="689"/>
      <c r="P57" s="20"/>
    </row>
    <row r="58" spans="1:16" s="687" customFormat="1" x14ac:dyDescent="0.35">
      <c r="A58" s="49"/>
      <c r="B58" s="1191">
        <f t="shared" si="4"/>
        <v>2020</v>
      </c>
      <c r="C58" s="1194" t="s">
        <v>448</v>
      </c>
      <c r="D58" s="1215">
        <f t="shared" si="5"/>
        <v>143000</v>
      </c>
      <c r="E58" s="1207" t="s">
        <v>195</v>
      </c>
      <c r="F58" s="1190"/>
      <c r="G58" s="1210"/>
      <c r="H58" s="689"/>
      <c r="I58" s="1194" t="s">
        <v>448</v>
      </c>
      <c r="J58" s="646">
        <v>105000</v>
      </c>
      <c r="K58" s="646">
        <v>25000</v>
      </c>
      <c r="L58" s="646">
        <v>10000</v>
      </c>
      <c r="M58" s="646">
        <v>3000</v>
      </c>
      <c r="N58" s="1214">
        <f t="shared" si="6"/>
        <v>143000</v>
      </c>
      <c r="O58" s="689"/>
      <c r="P58" s="20"/>
    </row>
    <row r="59" spans="1:16" s="687" customFormat="1" x14ac:dyDescent="0.35">
      <c r="A59" s="49"/>
      <c r="B59" s="1191">
        <f t="shared" si="4"/>
        <v>2020</v>
      </c>
      <c r="C59" s="1194" t="s">
        <v>449</v>
      </c>
      <c r="D59" s="1215">
        <f t="shared" si="5"/>
        <v>143000</v>
      </c>
      <c r="E59" s="1207" t="s">
        <v>195</v>
      </c>
      <c r="F59" s="1190"/>
      <c r="G59" s="1210"/>
      <c r="H59" s="689"/>
      <c r="I59" s="1194" t="s">
        <v>449</v>
      </c>
      <c r="J59" s="646">
        <v>105000</v>
      </c>
      <c r="K59" s="646">
        <v>25000</v>
      </c>
      <c r="L59" s="646">
        <v>10000</v>
      </c>
      <c r="M59" s="646">
        <v>3000</v>
      </c>
      <c r="N59" s="1214">
        <f t="shared" si="6"/>
        <v>143000</v>
      </c>
      <c r="O59" s="689"/>
      <c r="P59" s="20"/>
    </row>
    <row r="60" spans="1:16" s="687" customFormat="1" x14ac:dyDescent="0.35">
      <c r="A60" s="49"/>
      <c r="B60" s="1191">
        <f t="shared" si="4"/>
        <v>2020</v>
      </c>
      <c r="C60" s="1194" t="s">
        <v>450</v>
      </c>
      <c r="D60" s="1215">
        <f t="shared" si="5"/>
        <v>143000</v>
      </c>
      <c r="E60" s="1207" t="s">
        <v>195</v>
      </c>
      <c r="F60" s="1190"/>
      <c r="G60" s="1210"/>
      <c r="H60" s="689"/>
      <c r="I60" s="1194" t="s">
        <v>450</v>
      </c>
      <c r="J60" s="646">
        <v>105000</v>
      </c>
      <c r="K60" s="646">
        <v>25000</v>
      </c>
      <c r="L60" s="646">
        <v>10000</v>
      </c>
      <c r="M60" s="646">
        <v>3000</v>
      </c>
      <c r="N60" s="1214">
        <f t="shared" si="6"/>
        <v>143000</v>
      </c>
      <c r="O60" s="689"/>
      <c r="P60" s="20"/>
    </row>
    <row r="61" spans="1:16" s="687" customFormat="1" x14ac:dyDescent="0.35">
      <c r="A61" s="49"/>
      <c r="B61" s="1191">
        <f t="shared" si="4"/>
        <v>2020</v>
      </c>
      <c r="C61" s="1194" t="s">
        <v>451</v>
      </c>
      <c r="D61" s="1215">
        <f t="shared" si="5"/>
        <v>143000</v>
      </c>
      <c r="E61" s="1207" t="s">
        <v>195</v>
      </c>
      <c r="F61" s="1190"/>
      <c r="G61" s="1210"/>
      <c r="H61" s="689"/>
      <c r="I61" s="1194" t="s">
        <v>451</v>
      </c>
      <c r="J61" s="646">
        <v>105000</v>
      </c>
      <c r="K61" s="646">
        <v>25000</v>
      </c>
      <c r="L61" s="646">
        <v>10000</v>
      </c>
      <c r="M61" s="646">
        <v>3000</v>
      </c>
      <c r="N61" s="1214">
        <f t="shared" si="6"/>
        <v>143000</v>
      </c>
      <c r="O61" s="689"/>
      <c r="P61" s="20"/>
    </row>
    <row r="62" spans="1:16" s="687" customFormat="1" x14ac:dyDescent="0.35">
      <c r="A62" s="49"/>
      <c r="B62" s="1191">
        <f t="shared" si="4"/>
        <v>2020</v>
      </c>
      <c r="C62" s="1194" t="s">
        <v>452</v>
      </c>
      <c r="D62" s="1215">
        <f t="shared" si="5"/>
        <v>143000</v>
      </c>
      <c r="E62" s="1207" t="s">
        <v>195</v>
      </c>
      <c r="F62" s="1190"/>
      <c r="G62" s="1210"/>
      <c r="H62" s="689"/>
      <c r="I62" s="1194" t="s">
        <v>452</v>
      </c>
      <c r="J62" s="646">
        <v>105000</v>
      </c>
      <c r="K62" s="646">
        <v>25000</v>
      </c>
      <c r="L62" s="646">
        <v>10000</v>
      </c>
      <c r="M62" s="646">
        <v>3000</v>
      </c>
      <c r="N62" s="1214">
        <f t="shared" si="6"/>
        <v>143000</v>
      </c>
      <c r="O62" s="689"/>
      <c r="P62" s="20"/>
    </row>
    <row r="63" spans="1:16" s="687" customFormat="1" x14ac:dyDescent="0.35">
      <c r="A63" s="49"/>
      <c r="B63" s="1191">
        <f t="shared" si="4"/>
        <v>2020</v>
      </c>
      <c r="C63" s="1194" t="s">
        <v>453</v>
      </c>
      <c r="D63" s="1215">
        <f t="shared" si="5"/>
        <v>143000</v>
      </c>
      <c r="E63" s="1207" t="s">
        <v>195</v>
      </c>
      <c r="F63" s="1190"/>
      <c r="G63" s="1210"/>
      <c r="H63" s="689"/>
      <c r="I63" s="1194" t="s">
        <v>453</v>
      </c>
      <c r="J63" s="646">
        <v>105000</v>
      </c>
      <c r="K63" s="646">
        <v>25000</v>
      </c>
      <c r="L63" s="646">
        <v>10000</v>
      </c>
      <c r="M63" s="646">
        <v>3000</v>
      </c>
      <c r="N63" s="1214">
        <f t="shared" si="6"/>
        <v>143000</v>
      </c>
      <c r="O63" s="689"/>
      <c r="P63" s="20"/>
    </row>
    <row r="64" spans="1:16" s="687" customFormat="1" x14ac:dyDescent="0.35">
      <c r="A64" s="49"/>
      <c r="B64" s="1191">
        <f t="shared" si="4"/>
        <v>2020</v>
      </c>
      <c r="C64" s="1195" t="s">
        <v>454</v>
      </c>
      <c r="D64" s="1215">
        <f t="shared" si="5"/>
        <v>143000</v>
      </c>
      <c r="E64" s="1207" t="s">
        <v>195</v>
      </c>
      <c r="F64" s="1190"/>
      <c r="G64" s="1210"/>
      <c r="H64" s="689"/>
      <c r="I64" s="1195" t="s">
        <v>454</v>
      </c>
      <c r="J64" s="646">
        <v>105000</v>
      </c>
      <c r="K64" s="646">
        <v>25000</v>
      </c>
      <c r="L64" s="646">
        <v>10000</v>
      </c>
      <c r="M64" s="646">
        <v>3000</v>
      </c>
      <c r="N64" s="1214">
        <f t="shared" si="6"/>
        <v>143000</v>
      </c>
      <c r="O64" s="689"/>
      <c r="P64" s="20"/>
    </row>
    <row r="65" spans="1:16" s="687" customFormat="1" x14ac:dyDescent="0.35">
      <c r="A65" s="49"/>
      <c r="B65" s="232" t="s">
        <v>442</v>
      </c>
      <c r="C65" s="701"/>
      <c r="D65" s="701">
        <f>SUM(D53:D64)</f>
        <v>1716000</v>
      </c>
      <c r="E65" s="1208" t="s">
        <v>195</v>
      </c>
      <c r="F65" s="1211"/>
      <c r="G65" s="1212"/>
      <c r="H65" s="689"/>
      <c r="I65" s="724" t="s">
        <v>442</v>
      </c>
      <c r="J65" s="701">
        <f t="shared" ref="J65:M65" si="7">SUM(J53:J64)</f>
        <v>1260000</v>
      </c>
      <c r="K65" s="701">
        <f t="shared" si="7"/>
        <v>300000</v>
      </c>
      <c r="L65" s="701">
        <f t="shared" si="7"/>
        <v>120000</v>
      </c>
      <c r="M65" s="701">
        <f t="shared" si="7"/>
        <v>36000</v>
      </c>
      <c r="N65" s="725">
        <f>SUM(N53:N64)</f>
        <v>1716000</v>
      </c>
      <c r="O65" s="689"/>
      <c r="P65" s="20"/>
    </row>
    <row r="66" spans="1:16" s="687" customFormat="1" x14ac:dyDescent="0.35">
      <c r="A66" s="49"/>
      <c r="B66" s="79"/>
      <c r="C66" s="96"/>
      <c r="D66" s="227"/>
      <c r="E66" s="834"/>
      <c r="F66" s="834"/>
      <c r="G66" s="689"/>
      <c r="H66" s="79"/>
      <c r="I66" s="235"/>
      <c r="J66" s="236"/>
      <c r="K66" s="240"/>
      <c r="L66" s="240"/>
      <c r="M66" s="149"/>
      <c r="N66" s="149"/>
      <c r="O66" s="149"/>
      <c r="P66" s="20"/>
    </row>
    <row r="67" spans="1:16" s="687" customFormat="1" x14ac:dyDescent="0.35">
      <c r="A67" s="689"/>
      <c r="B67" s="774" t="s">
        <v>455</v>
      </c>
      <c r="C67" s="198"/>
      <c r="D67" s="1396" t="s">
        <v>456</v>
      </c>
      <c r="E67" s="1551" t="s">
        <v>457</v>
      </c>
      <c r="F67" s="75"/>
      <c r="G67" s="43"/>
      <c r="H67" s="43"/>
      <c r="I67" s="236"/>
      <c r="J67" s="240"/>
      <c r="K67" s="240"/>
      <c r="L67" s="149"/>
      <c r="M67" s="149"/>
      <c r="N67" s="149"/>
      <c r="O67" s="689"/>
      <c r="P67" s="20"/>
    </row>
    <row r="68" spans="1:16" s="687" customFormat="1" ht="15" thickBot="1" x14ac:dyDescent="0.4">
      <c r="A68" s="49"/>
      <c r="B68" s="1836" t="s">
        <v>490</v>
      </c>
      <c r="C68" s="1839"/>
      <c r="D68" s="1839"/>
      <c r="E68" s="1839"/>
      <c r="F68" s="1839"/>
      <c r="G68" s="1839"/>
      <c r="H68" s="1837"/>
      <c r="I68" s="689"/>
      <c r="J68" s="1836" t="s">
        <v>458</v>
      </c>
      <c r="K68" s="1839"/>
      <c r="L68" s="1839"/>
      <c r="M68" s="1839"/>
      <c r="N68" s="1839"/>
      <c r="O68" s="1837"/>
      <c r="P68" s="20"/>
    </row>
    <row r="69" spans="1:16" s="687" customFormat="1" x14ac:dyDescent="0.35">
      <c r="A69" s="49"/>
      <c r="B69" s="234"/>
      <c r="C69" s="161">
        <f>D65</f>
        <v>1716000</v>
      </c>
      <c r="D69" s="74" t="s">
        <v>459</v>
      </c>
      <c r="E69" s="43"/>
      <c r="F69" s="17"/>
      <c r="G69" s="235"/>
      <c r="H69" s="681"/>
      <c r="I69" s="689"/>
      <c r="J69" s="234"/>
      <c r="K69" s="161">
        <f>D65</f>
        <v>1716000</v>
      </c>
      <c r="L69" s="74" t="s">
        <v>459</v>
      </c>
      <c r="M69" s="43"/>
      <c r="N69" s="17"/>
      <c r="O69" s="681"/>
      <c r="P69" s="20"/>
    </row>
    <row r="70" spans="1:16" s="687" customFormat="1" x14ac:dyDescent="0.35">
      <c r="A70" s="49"/>
      <c r="B70" s="234"/>
      <c r="C70" s="1196">
        <v>743.3</v>
      </c>
      <c r="D70" s="74" t="s">
        <v>460</v>
      </c>
      <c r="E70" s="43"/>
      <c r="F70" s="17"/>
      <c r="G70" s="235"/>
      <c r="H70" s="681"/>
      <c r="I70" s="689"/>
      <c r="J70" s="234"/>
      <c r="K70" s="1197">
        <v>6.7000000000000004E-2</v>
      </c>
      <c r="L70" s="74" t="s">
        <v>461</v>
      </c>
      <c r="M70" s="43"/>
      <c r="N70" s="17"/>
      <c r="O70" s="681"/>
      <c r="P70" s="20"/>
    </row>
    <row r="71" spans="1:16" s="687" customFormat="1" x14ac:dyDescent="0.35">
      <c r="A71" s="49"/>
      <c r="B71" s="234"/>
      <c r="C71" s="1198">
        <f>C70/2.2046</f>
        <v>337.15866823913632</v>
      </c>
      <c r="D71" s="74" t="s">
        <v>462</v>
      </c>
      <c r="E71" s="43"/>
      <c r="F71" s="17"/>
      <c r="G71" s="235"/>
      <c r="H71" s="681"/>
      <c r="I71" s="689"/>
      <c r="J71" s="234"/>
      <c r="K71" s="1199">
        <f>K70/2.2046</f>
        <v>3.0391000635035834E-2</v>
      </c>
      <c r="L71" s="74" t="s">
        <v>463</v>
      </c>
      <c r="M71" s="43"/>
      <c r="N71" s="17"/>
      <c r="O71" s="681"/>
      <c r="P71" s="20"/>
    </row>
    <row r="72" spans="1:16" s="687" customFormat="1" x14ac:dyDescent="0.35">
      <c r="A72" s="49"/>
      <c r="B72" s="234"/>
      <c r="C72" s="1199">
        <f>C71/1000</f>
        <v>0.33715866823913632</v>
      </c>
      <c r="D72" s="74" t="s">
        <v>464</v>
      </c>
      <c r="E72" s="43"/>
      <c r="F72" s="17"/>
      <c r="G72" s="235"/>
      <c r="H72" s="681"/>
      <c r="I72" s="689"/>
      <c r="J72" s="234"/>
      <c r="K72" s="1200">
        <f>K71/1000</f>
        <v>3.0391000635035835E-5</v>
      </c>
      <c r="L72" s="74" t="s">
        <v>465</v>
      </c>
      <c r="M72" s="43"/>
      <c r="N72" s="17"/>
      <c r="O72" s="681"/>
      <c r="P72" s="20"/>
    </row>
    <row r="73" spans="1:16" s="687" customFormat="1" x14ac:dyDescent="0.35">
      <c r="A73" s="49"/>
      <c r="B73" s="194"/>
      <c r="C73" s="890">
        <f>C69*C72</f>
        <v>578564.27469835791</v>
      </c>
      <c r="D73" s="73" t="s">
        <v>466</v>
      </c>
      <c r="E73" s="689"/>
      <c r="F73" s="689"/>
      <c r="G73" s="689"/>
      <c r="H73" s="681"/>
      <c r="I73" s="689"/>
      <c r="J73" s="194"/>
      <c r="K73" s="286">
        <f>K69*K72</f>
        <v>52.150957089721494</v>
      </c>
      <c r="L73" s="73" t="s">
        <v>467</v>
      </c>
      <c r="M73" s="689"/>
      <c r="N73" s="689"/>
      <c r="O73" s="681"/>
      <c r="P73" s="20"/>
    </row>
    <row r="74" spans="1:16" s="687" customFormat="1" ht="15" thickBot="1" x14ac:dyDescent="0.4">
      <c r="A74" s="49"/>
      <c r="B74" s="194"/>
      <c r="C74" s="1555">
        <v>1</v>
      </c>
      <c r="D74" s="73" t="s">
        <v>122</v>
      </c>
      <c r="E74" s="689"/>
      <c r="F74" s="689"/>
      <c r="G74" s="689"/>
      <c r="H74" s="681"/>
      <c r="I74" s="689"/>
      <c r="J74" s="284"/>
      <c r="K74" s="1555">
        <v>28</v>
      </c>
      <c r="L74" s="73" t="s">
        <v>122</v>
      </c>
      <c r="M74" s="689"/>
      <c r="N74" s="689"/>
      <c r="O74" s="681"/>
      <c r="P74" s="20"/>
    </row>
    <row r="75" spans="1:16" s="687" customFormat="1" ht="15" thickBot="1" x14ac:dyDescent="0.4">
      <c r="A75" s="49"/>
      <c r="B75" s="289"/>
      <c r="C75" s="869">
        <f>C73*C74</f>
        <v>578564.27469835791</v>
      </c>
      <c r="D75" s="285" t="s">
        <v>468</v>
      </c>
      <c r="E75" s="283"/>
      <c r="F75" s="282"/>
      <c r="G75" s="235"/>
      <c r="H75" s="681"/>
      <c r="I75" s="689"/>
      <c r="J75" s="284"/>
      <c r="K75" s="869">
        <f>K73*K74</f>
        <v>1460.2267985122019</v>
      </c>
      <c r="L75" s="285" t="s">
        <v>469</v>
      </c>
      <c r="M75" s="283"/>
      <c r="N75" s="282"/>
      <c r="O75" s="681"/>
      <c r="P75" s="20"/>
    </row>
    <row r="76" spans="1:16" s="687" customFormat="1" x14ac:dyDescent="0.35">
      <c r="A76" s="49"/>
      <c r="B76" s="284"/>
      <c r="C76" s="870">
        <f>C75*2.2046</f>
        <v>1275502.7999999998</v>
      </c>
      <c r="D76" s="287" t="s">
        <v>470</v>
      </c>
      <c r="E76" s="219"/>
      <c r="F76" s="219"/>
      <c r="G76" s="235"/>
      <c r="H76" s="681"/>
      <c r="I76" s="689"/>
      <c r="J76" s="284"/>
      <c r="K76" s="870">
        <f>K75*2.2046</f>
        <v>3219.2160000000003</v>
      </c>
      <c r="L76" s="287" t="s">
        <v>471</v>
      </c>
      <c r="M76" s="219"/>
      <c r="N76" s="219"/>
      <c r="O76" s="681"/>
      <c r="P76" s="20"/>
    </row>
    <row r="77" spans="1:16" x14ac:dyDescent="0.35">
      <c r="A77" s="458"/>
      <c r="B77" s="284"/>
      <c r="C77" s="871">
        <f>C76/2000</f>
        <v>637.75139999999988</v>
      </c>
      <c r="D77" s="323" t="s">
        <v>472</v>
      </c>
      <c r="E77" s="324"/>
      <c r="F77" s="218"/>
      <c r="G77" s="235"/>
      <c r="H77" s="681"/>
      <c r="I77" s="689"/>
      <c r="J77" s="327"/>
      <c r="K77" s="871">
        <f>K76/2000</f>
        <v>1.6096080000000001</v>
      </c>
      <c r="L77" s="323" t="s">
        <v>473</v>
      </c>
      <c r="M77" s="324"/>
      <c r="N77" s="218"/>
      <c r="O77" s="681"/>
      <c r="P77" s="20"/>
    </row>
    <row r="78" spans="1:16" ht="15" thickBot="1" x14ac:dyDescent="0.4">
      <c r="A78" s="458"/>
      <c r="B78" s="284"/>
      <c r="C78" s="633">
        <f>'Brewery-Control Data'!$E$10</f>
        <v>88010.823974999992</v>
      </c>
      <c r="D78" s="634" t="s">
        <v>276</v>
      </c>
      <c r="E78" s="288"/>
      <c r="F78" s="457"/>
      <c r="G78" s="235"/>
      <c r="H78" s="681"/>
      <c r="I78" s="689"/>
      <c r="J78" s="327"/>
      <c r="K78" s="633">
        <f>'Brewery-Control Data'!$E$10</f>
        <v>88010.823974999992</v>
      </c>
      <c r="L78" s="634" t="s">
        <v>276</v>
      </c>
      <c r="M78" s="288"/>
      <c r="N78" s="457"/>
      <c r="O78" s="681"/>
      <c r="P78" s="20"/>
    </row>
    <row r="79" spans="1:16" ht="15" thickBot="1" x14ac:dyDescent="0.4">
      <c r="A79" s="458"/>
      <c r="B79" s="290"/>
      <c r="C79" s="441">
        <f>C75/C78</f>
        <v>6.5737854569195102</v>
      </c>
      <c r="D79" s="442" t="s">
        <v>474</v>
      </c>
      <c r="E79" s="328"/>
      <c r="F79" s="329"/>
      <c r="G79" s="228"/>
      <c r="H79" s="179"/>
      <c r="I79" s="689"/>
      <c r="J79" s="241"/>
      <c r="K79" s="441">
        <f>K75/K78</f>
        <v>1.6591445603633799E-2</v>
      </c>
      <c r="L79" s="442" t="s">
        <v>475</v>
      </c>
      <c r="M79" s="328"/>
      <c r="N79" s="329"/>
      <c r="O79" s="179"/>
      <c r="P79" s="20"/>
    </row>
    <row r="80" spans="1:16" ht="15" thickBot="1" x14ac:dyDescent="0.4">
      <c r="A80" s="458"/>
      <c r="B80" s="198"/>
      <c r="C80" s="199"/>
      <c r="D80" s="237"/>
      <c r="E80" s="75"/>
      <c r="F80" s="43"/>
      <c r="G80" s="43"/>
      <c r="H80" s="235"/>
      <c r="I80" s="689"/>
      <c r="J80" s="240"/>
      <c r="K80" s="240"/>
      <c r="L80" s="149"/>
      <c r="M80" s="149"/>
      <c r="N80" s="149"/>
      <c r="O80" s="689"/>
      <c r="P80" s="20"/>
    </row>
    <row r="81" spans="1:16" ht="15" thickBot="1" x14ac:dyDescent="0.4">
      <c r="A81" s="458"/>
      <c r="B81" s="1836" t="s">
        <v>476</v>
      </c>
      <c r="C81" s="1839"/>
      <c r="D81" s="1839"/>
      <c r="E81" s="1839"/>
      <c r="F81" s="1839"/>
      <c r="G81" s="1839"/>
      <c r="H81" s="1837"/>
      <c r="I81" s="689"/>
      <c r="J81" s="689"/>
      <c r="K81" s="689"/>
      <c r="L81" s="689"/>
      <c r="M81" s="689"/>
      <c r="N81" s="689"/>
      <c r="O81" s="689"/>
      <c r="P81" s="20"/>
    </row>
    <row r="82" spans="1:16" ht="15" customHeight="1" x14ac:dyDescent="0.35">
      <c r="A82" s="458"/>
      <c r="B82" s="234"/>
      <c r="C82" s="161">
        <f>D65</f>
        <v>1716000</v>
      </c>
      <c r="D82" s="74" t="s">
        <v>459</v>
      </c>
      <c r="E82" s="43"/>
      <c r="F82" s="17"/>
      <c r="G82" s="235"/>
      <c r="H82" s="681"/>
      <c r="I82" s="689"/>
      <c r="J82" s="689"/>
      <c r="K82" s="689"/>
      <c r="L82" s="689"/>
      <c r="M82" s="689"/>
      <c r="N82" s="689"/>
      <c r="O82" s="689"/>
      <c r="P82" s="20"/>
    </row>
    <row r="83" spans="1:16" ht="15" thickBot="1" x14ac:dyDescent="0.4">
      <c r="A83" s="458"/>
      <c r="B83" s="234"/>
      <c r="C83" s="1197">
        <v>8.9999999999999993E-3</v>
      </c>
      <c r="D83" s="74" t="s">
        <v>477</v>
      </c>
      <c r="E83" s="43"/>
      <c r="F83" s="17"/>
      <c r="G83" s="235"/>
      <c r="H83" s="681"/>
      <c r="I83" s="689"/>
      <c r="J83" s="689"/>
      <c r="K83" s="689"/>
      <c r="L83" s="689"/>
      <c r="M83" s="689"/>
      <c r="N83" s="689"/>
      <c r="O83" s="689"/>
      <c r="P83" s="20"/>
    </row>
    <row r="84" spans="1:16" ht="15" thickBot="1" x14ac:dyDescent="0.4">
      <c r="A84" s="458"/>
      <c r="B84" s="234"/>
      <c r="C84" s="1199">
        <f>C83/2.2046</f>
        <v>4.0823732196316785E-3</v>
      </c>
      <c r="D84" s="74" t="s">
        <v>478</v>
      </c>
      <c r="E84" s="43"/>
      <c r="F84" s="17"/>
      <c r="G84" s="235"/>
      <c r="H84" s="681"/>
      <c r="I84" s="689"/>
      <c r="J84" s="1836" t="s">
        <v>491</v>
      </c>
      <c r="K84" s="1839"/>
      <c r="L84" s="1839"/>
      <c r="M84" s="1839"/>
      <c r="N84" s="1839"/>
      <c r="O84" s="1837"/>
      <c r="P84" s="20"/>
    </row>
    <row r="85" spans="1:16" ht="15" customHeight="1" thickBot="1" x14ac:dyDescent="0.4">
      <c r="A85" s="458"/>
      <c r="B85" s="234"/>
      <c r="C85" s="1200">
        <f>C84/1000</f>
        <v>4.0823732196316787E-6</v>
      </c>
      <c r="D85" s="74" t="s">
        <v>480</v>
      </c>
      <c r="E85" s="43"/>
      <c r="F85" s="17"/>
      <c r="G85" s="235"/>
      <c r="H85" s="681"/>
      <c r="I85" s="689"/>
      <c r="J85" s="327"/>
      <c r="K85" s="869">
        <f>C75+K75+C88</f>
        <v>582112.09652544663</v>
      </c>
      <c r="L85" s="285" t="s">
        <v>481</v>
      </c>
      <c r="M85" s="283"/>
      <c r="N85" s="282"/>
      <c r="O85" s="681"/>
      <c r="P85" s="20"/>
    </row>
    <row r="86" spans="1:16" ht="15" thickBot="1" x14ac:dyDescent="0.4">
      <c r="A86" s="458"/>
      <c r="B86" s="234"/>
      <c r="C86" s="286">
        <f>C82*C85</f>
        <v>7.0053524448879605</v>
      </c>
      <c r="D86" s="73" t="s">
        <v>482</v>
      </c>
      <c r="E86" s="689"/>
      <c r="F86" s="689"/>
      <c r="G86" s="235"/>
      <c r="H86" s="681"/>
      <c r="I86" s="689"/>
      <c r="J86" s="327"/>
      <c r="K86" s="633">
        <f>'Brewery-Control Data'!$E$10</f>
        <v>88010.823974999992</v>
      </c>
      <c r="L86" s="326" t="s">
        <v>276</v>
      </c>
      <c r="M86" s="149"/>
      <c r="N86" s="689"/>
      <c r="O86" s="681"/>
      <c r="P86" s="20"/>
    </row>
    <row r="87" spans="1:16" ht="15" thickBot="1" x14ac:dyDescent="0.4">
      <c r="A87" s="458"/>
      <c r="B87" s="234"/>
      <c r="C87" s="1556">
        <v>298</v>
      </c>
      <c r="D87" s="73" t="s">
        <v>122</v>
      </c>
      <c r="E87" s="689"/>
      <c r="F87" s="689"/>
      <c r="G87" s="235"/>
      <c r="H87" s="681"/>
      <c r="I87" s="689"/>
      <c r="J87" s="241"/>
      <c r="K87" s="441">
        <f>K85/K86</f>
        <v>6.6140966557795107</v>
      </c>
      <c r="L87" s="442" t="s">
        <v>483</v>
      </c>
      <c r="M87" s="328"/>
      <c r="N87" s="329"/>
      <c r="O87" s="179"/>
      <c r="P87" s="20"/>
    </row>
    <row r="88" spans="1:16" ht="15" thickBot="1" x14ac:dyDescent="0.4">
      <c r="A88" s="458"/>
      <c r="B88" s="291"/>
      <c r="C88" s="869">
        <f>C86*C87</f>
        <v>2087.5950285766121</v>
      </c>
      <c r="D88" s="285" t="s">
        <v>484</v>
      </c>
      <c r="E88" s="283"/>
      <c r="F88" s="283"/>
      <c r="G88" s="282"/>
      <c r="H88" s="681"/>
      <c r="I88" s="689"/>
      <c r="J88" s="728"/>
      <c r="K88" s="729"/>
      <c r="L88" s="730"/>
      <c r="M88" s="83"/>
      <c r="N88" s="83"/>
      <c r="O88" s="83"/>
      <c r="P88" s="20"/>
    </row>
    <row r="89" spans="1:16" x14ac:dyDescent="0.35">
      <c r="A89" s="458"/>
      <c r="B89" s="291"/>
      <c r="C89" s="870">
        <f>C88*2.2046</f>
        <v>4602.311999999999</v>
      </c>
      <c r="D89" s="287" t="s">
        <v>485</v>
      </c>
      <c r="E89" s="219"/>
      <c r="F89" s="219"/>
      <c r="G89" s="219"/>
      <c r="H89" s="681"/>
      <c r="I89" s="689"/>
      <c r="J89" s="728"/>
      <c r="K89" s="726"/>
      <c r="L89" s="727"/>
      <c r="M89" s="288"/>
      <c r="N89" s="457"/>
      <c r="O89" s="457"/>
      <c r="P89" s="20"/>
    </row>
    <row r="90" spans="1:16" x14ac:dyDescent="0.35">
      <c r="A90" s="458"/>
      <c r="B90" s="291"/>
      <c r="C90" s="871">
        <f>C89/2000</f>
        <v>2.3011559999999993</v>
      </c>
      <c r="D90" s="323" t="s">
        <v>486</v>
      </c>
      <c r="E90" s="324"/>
      <c r="F90" s="218"/>
      <c r="G90" s="218"/>
      <c r="H90" s="681"/>
      <c r="I90" s="689"/>
      <c r="J90" s="728"/>
      <c r="K90" s="731"/>
      <c r="L90" s="727"/>
      <c r="M90" s="288"/>
      <c r="N90" s="457"/>
      <c r="O90" s="457"/>
      <c r="P90" s="20"/>
    </row>
    <row r="91" spans="1:16" ht="15" thickBot="1" x14ac:dyDescent="0.4">
      <c r="A91" s="458"/>
      <c r="B91" s="194"/>
      <c r="C91" s="633">
        <f>'Brewery-Control Data'!$E$10</f>
        <v>88010.823974999992</v>
      </c>
      <c r="D91" s="634" t="s">
        <v>276</v>
      </c>
      <c r="E91" s="75"/>
      <c r="F91" s="43"/>
      <c r="G91" s="43"/>
      <c r="H91" s="681"/>
      <c r="I91" s="236"/>
      <c r="J91" s="240"/>
      <c r="K91" s="240"/>
      <c r="L91" s="149"/>
      <c r="M91" s="149"/>
      <c r="N91" s="149"/>
      <c r="O91" s="689"/>
      <c r="P91" s="20"/>
    </row>
    <row r="92" spans="1:16" ht="15" thickBot="1" x14ac:dyDescent="0.4">
      <c r="A92" s="845"/>
      <c r="B92" s="837"/>
      <c r="C92" s="441">
        <f>C88/C91</f>
        <v>2.3719753256367718E-2</v>
      </c>
      <c r="D92" s="442" t="s">
        <v>487</v>
      </c>
      <c r="E92" s="328"/>
      <c r="F92" s="437"/>
      <c r="G92" s="329"/>
      <c r="H92" s="838"/>
      <c r="I92" s="839"/>
      <c r="J92" s="840"/>
      <c r="K92" s="840"/>
      <c r="L92" s="775"/>
      <c r="M92" s="775"/>
      <c r="N92" s="775"/>
      <c r="O92" s="774"/>
      <c r="P92" s="841"/>
    </row>
    <row r="93" spans="1:16" ht="15" thickBot="1" x14ac:dyDescent="0.4">
      <c r="A93" s="457"/>
      <c r="B93" s="83"/>
      <c r="C93" s="21"/>
      <c r="D93" s="73"/>
      <c r="E93" s="83"/>
      <c r="F93" s="410"/>
      <c r="G93" s="726"/>
      <c r="H93" s="457"/>
      <c r="I93" s="457"/>
      <c r="J93" s="728"/>
      <c r="K93" s="731"/>
      <c r="L93" s="727"/>
      <c r="M93" s="288"/>
      <c r="N93" s="457"/>
      <c r="O93" s="457"/>
      <c r="P93" s="687"/>
    </row>
    <row r="94" spans="1:16" ht="16" thickBot="1" x14ac:dyDescent="0.4">
      <c r="A94" s="842" t="s">
        <v>492</v>
      </c>
      <c r="B94" s="278"/>
      <c r="C94" s="847"/>
      <c r="D94" s="199"/>
      <c r="E94" s="200"/>
      <c r="F94" s="75"/>
      <c r="G94" s="726"/>
      <c r="H94" s="457"/>
      <c r="I94" s="457"/>
      <c r="J94" s="728"/>
      <c r="K94" s="728"/>
      <c r="L94" s="288"/>
      <c r="M94" s="288"/>
      <c r="N94" s="288"/>
      <c r="O94" s="457"/>
      <c r="P94" s="687"/>
    </row>
    <row r="95" spans="1:16" ht="16" thickBot="1" x14ac:dyDescent="0.4">
      <c r="A95" s="822"/>
      <c r="B95" s="198"/>
      <c r="C95" s="198"/>
      <c r="D95" s="199"/>
      <c r="E95" s="200"/>
      <c r="F95" s="75"/>
      <c r="G95" s="726"/>
      <c r="H95" s="457"/>
      <c r="I95" s="457"/>
      <c r="J95" s="728"/>
      <c r="K95" s="728"/>
      <c r="L95" s="288"/>
      <c r="M95" s="288"/>
      <c r="N95" s="288"/>
      <c r="O95" s="457"/>
      <c r="P95" s="687"/>
    </row>
    <row r="96" spans="1:16" ht="15" customHeight="1" thickBot="1" x14ac:dyDescent="0.4">
      <c r="A96" s="83"/>
      <c r="B96" s="1841" t="s">
        <v>493</v>
      </c>
      <c r="C96" s="1842"/>
      <c r="D96" s="1842"/>
      <c r="E96" s="1842"/>
      <c r="F96" s="1843"/>
      <c r="G96" s="83"/>
      <c r="H96" s="457"/>
      <c r="I96" s="457"/>
      <c r="J96" s="728"/>
      <c r="K96" s="728"/>
      <c r="L96" s="288"/>
      <c r="M96" s="288"/>
      <c r="N96" s="288"/>
      <c r="O96" s="457"/>
      <c r="P96" s="687"/>
    </row>
    <row r="97" spans="1:15" ht="15" thickBot="1" x14ac:dyDescent="0.4">
      <c r="A97" s="687"/>
      <c r="B97" s="277"/>
      <c r="C97" s="278"/>
      <c r="D97" s="279" t="s">
        <v>494</v>
      </c>
      <c r="E97" s="782">
        <f>K41+K85</f>
        <v>1873478.221899664</v>
      </c>
      <c r="F97" s="280" t="s">
        <v>495</v>
      </c>
      <c r="G97" s="83"/>
      <c r="H97" s="457"/>
      <c r="I97" s="457"/>
      <c r="J97" s="728"/>
      <c r="K97" s="728"/>
      <c r="L97" s="288"/>
      <c r="M97" s="288"/>
      <c r="N97" s="288"/>
      <c r="O97" s="457"/>
    </row>
    <row r="98" spans="1:15" x14ac:dyDescent="0.35">
      <c r="A98" s="687"/>
      <c r="B98" s="521"/>
      <c r="C98" s="219"/>
      <c r="D98" s="219"/>
      <c r="E98" s="785">
        <f>E97*2.2046</f>
        <v>4130270.0879999995</v>
      </c>
      <c r="F98" s="789" t="s">
        <v>496</v>
      </c>
      <c r="G98" s="457"/>
      <c r="H98" s="457"/>
      <c r="I98" s="457"/>
      <c r="J98" s="728"/>
      <c r="K98" s="728"/>
      <c r="L98" s="288"/>
      <c r="M98" s="288"/>
      <c r="N98" s="288"/>
      <c r="O98" s="457"/>
    </row>
    <row r="99" spans="1:15" x14ac:dyDescent="0.35">
      <c r="A99" s="687"/>
      <c r="B99" s="521"/>
      <c r="C99" s="219"/>
      <c r="D99" s="219"/>
      <c r="E99" s="785">
        <f>E98/2000</f>
        <v>2065.1350439999997</v>
      </c>
      <c r="F99" s="789" t="s">
        <v>497</v>
      </c>
      <c r="G99" s="726"/>
      <c r="H99" s="457"/>
      <c r="I99" s="457"/>
      <c r="J99" s="728"/>
      <c r="K99" s="728"/>
      <c r="L99" s="288"/>
      <c r="M99" s="288"/>
      <c r="N99" s="288"/>
      <c r="O99" s="457"/>
    </row>
    <row r="100" spans="1:15" ht="15" thickBot="1" x14ac:dyDescent="0.4">
      <c r="A100" s="687"/>
      <c r="B100" s="159"/>
      <c r="C100" s="83"/>
      <c r="D100" s="198" t="s">
        <v>276</v>
      </c>
      <c r="E100" s="786">
        <f>'Brewery-Control Data'!$H$10</f>
        <v>211225.97753999999</v>
      </c>
      <c r="F100" s="790" t="s">
        <v>125</v>
      </c>
      <c r="G100" s="457"/>
      <c r="H100" s="457"/>
      <c r="I100" s="354"/>
      <c r="J100" s="728"/>
      <c r="K100" s="728"/>
      <c r="L100" s="288"/>
      <c r="M100" s="288"/>
      <c r="N100" s="288"/>
      <c r="O100" s="457"/>
    </row>
    <row r="101" spans="1:15" ht="15" thickBot="1" x14ac:dyDescent="0.4">
      <c r="A101" s="687"/>
      <c r="B101" s="333"/>
      <c r="C101" s="334"/>
      <c r="D101" s="335" t="s">
        <v>494</v>
      </c>
      <c r="E101" s="336">
        <f>E97/E100</f>
        <v>8.8695445688960408</v>
      </c>
      <c r="F101" s="337" t="s">
        <v>498</v>
      </c>
      <c r="G101" s="43"/>
      <c r="H101" s="43"/>
      <c r="I101" s="235"/>
      <c r="J101" s="236"/>
      <c r="K101" s="165"/>
      <c r="L101" s="165"/>
      <c r="M101" s="81"/>
      <c r="N101" s="81"/>
      <c r="O101" s="81"/>
    </row>
    <row r="102" spans="1:15" x14ac:dyDescent="0.35">
      <c r="A102" s="81"/>
      <c r="B102" s="81"/>
      <c r="C102" s="687"/>
      <c r="D102" s="687"/>
      <c r="E102" s="687"/>
      <c r="F102" s="687"/>
      <c r="G102" s="687"/>
      <c r="H102" s="687"/>
      <c r="I102" s="77"/>
      <c r="J102" s="80"/>
      <c r="K102" s="165"/>
      <c r="L102" s="165"/>
      <c r="M102" s="81"/>
      <c r="N102" s="81"/>
      <c r="O102" s="81"/>
    </row>
    <row r="103" spans="1:15" s="687" customFormat="1" x14ac:dyDescent="0.35">
      <c r="A103" s="81"/>
      <c r="B103" s="81"/>
      <c r="I103" s="77"/>
      <c r="J103" s="80"/>
      <c r="K103" s="165"/>
      <c r="L103" s="165"/>
      <c r="M103" s="81"/>
      <c r="N103" s="81"/>
      <c r="O103" s="81"/>
    </row>
    <row r="104" spans="1:15" s="687" customFormat="1" x14ac:dyDescent="0.35">
      <c r="A104" s="81"/>
      <c r="B104" s="81"/>
      <c r="I104" s="77"/>
      <c r="J104" s="80"/>
      <c r="K104" s="165"/>
      <c r="L104" s="165"/>
      <c r="M104" s="81"/>
      <c r="N104" s="81"/>
      <c r="O104" s="81"/>
    </row>
    <row r="105" spans="1:15" ht="15" thickBot="1" x14ac:dyDescent="0.4">
      <c r="A105" s="1829" t="s">
        <v>499</v>
      </c>
      <c r="B105" s="1829"/>
      <c r="C105" s="1829"/>
      <c r="D105" s="1829"/>
      <c r="E105" s="1829"/>
      <c r="F105" s="78"/>
      <c r="G105" s="687"/>
      <c r="H105" s="233"/>
      <c r="I105" s="97"/>
      <c r="J105" s="97"/>
      <c r="K105" s="81"/>
      <c r="L105" s="81"/>
      <c r="M105" s="81"/>
      <c r="N105" s="81"/>
      <c r="O105" s="81"/>
    </row>
    <row r="106" spans="1:15" ht="15" thickTop="1" x14ac:dyDescent="0.35">
      <c r="A106" s="81"/>
      <c r="B106" s="233"/>
      <c r="C106" s="97"/>
      <c r="D106" s="97"/>
      <c r="E106" s="78"/>
      <c r="F106" s="78"/>
      <c r="G106" s="687"/>
      <c r="H106" s="233"/>
      <c r="I106" s="97"/>
      <c r="J106" s="97"/>
      <c r="K106" s="81"/>
      <c r="L106" s="81"/>
      <c r="M106" s="81"/>
      <c r="N106" s="81"/>
      <c r="O106" s="81"/>
    </row>
    <row r="107" spans="1:15" x14ac:dyDescent="0.35">
      <c r="A107" s="266" t="s">
        <v>500</v>
      </c>
      <c r="B107" s="309"/>
      <c r="C107" s="310"/>
      <c r="D107" s="310"/>
      <c r="E107" s="308"/>
      <c r="F107" s="308"/>
      <c r="G107" s="690"/>
      <c r="H107" s="309"/>
      <c r="I107" s="97"/>
      <c r="J107" s="97"/>
      <c r="K107" s="81"/>
      <c r="L107" s="81"/>
      <c r="M107" s="81"/>
      <c r="N107" s="81"/>
      <c r="O107" s="81"/>
    </row>
    <row r="108" spans="1:15" x14ac:dyDescent="0.35">
      <c r="A108" s="687"/>
      <c r="B108" s="702" t="s">
        <v>501</v>
      </c>
      <c r="C108" s="310"/>
      <c r="D108" s="310"/>
      <c r="E108" s="308"/>
      <c r="F108" s="308"/>
      <c r="G108" s="690"/>
      <c r="H108" s="309"/>
      <c r="I108" s="97"/>
      <c r="J108" s="97"/>
      <c r="K108" s="81"/>
      <c r="L108" s="81"/>
      <c r="M108" s="81"/>
      <c r="N108" s="81"/>
      <c r="O108" s="81"/>
    </row>
    <row r="109" spans="1:15" s="687" customFormat="1" x14ac:dyDescent="0.35">
      <c r="B109" s="702" t="s">
        <v>502</v>
      </c>
      <c r="C109" s="310"/>
      <c r="D109" s="310"/>
      <c r="E109" s="308"/>
      <c r="F109" s="308"/>
      <c r="G109" s="690"/>
      <c r="H109" s="309"/>
      <c r="I109" s="97"/>
      <c r="J109" s="97"/>
      <c r="K109" s="81"/>
      <c r="L109" s="81"/>
      <c r="M109" s="81"/>
      <c r="N109" s="81"/>
      <c r="O109" s="81"/>
    </row>
    <row r="110" spans="1:15" x14ac:dyDescent="0.35">
      <c r="A110" s="687"/>
      <c r="B110" s="687"/>
      <c r="C110" s="310"/>
      <c r="D110" s="310"/>
      <c r="E110" s="308"/>
      <c r="F110" s="308"/>
      <c r="G110" s="690"/>
      <c r="H110" s="309"/>
      <c r="I110" s="97"/>
      <c r="J110" s="97"/>
      <c r="K110" s="81"/>
      <c r="L110" s="81"/>
      <c r="M110" s="81"/>
      <c r="N110" s="81"/>
      <c r="O110" s="81"/>
    </row>
    <row r="111" spans="1:15" x14ac:dyDescent="0.35">
      <c r="A111" s="687"/>
      <c r="B111" s="223" t="s">
        <v>503</v>
      </c>
      <c r="C111" s="310"/>
      <c r="D111" s="310"/>
      <c r="E111" s="308"/>
      <c r="F111" s="308"/>
      <c r="G111" s="690"/>
      <c r="H111" s="309"/>
      <c r="I111" s="97"/>
      <c r="J111" s="97"/>
      <c r="K111" s="81"/>
      <c r="L111" s="81"/>
      <c r="M111" s="81"/>
      <c r="N111" s="81"/>
      <c r="O111" s="81"/>
    </row>
    <row r="112" spans="1:15" x14ac:dyDescent="0.35">
      <c r="A112" s="223" t="s">
        <v>504</v>
      </c>
      <c r="B112" s="226"/>
      <c r="C112" s="690"/>
      <c r="D112" s="266"/>
      <c r="E112" s="266"/>
      <c r="F112" s="266"/>
      <c r="G112" s="266"/>
      <c r="H112" s="266"/>
      <c r="I112" s="97"/>
      <c r="J112" s="81"/>
      <c r="K112" s="687"/>
      <c r="L112" s="687"/>
      <c r="M112" s="687"/>
      <c r="N112" s="687"/>
      <c r="O112" s="687"/>
    </row>
    <row r="113" spans="1:16" x14ac:dyDescent="0.35">
      <c r="A113" s="690" t="s">
        <v>504</v>
      </c>
      <c r="B113" s="223"/>
      <c r="C113" s="690"/>
      <c r="D113" s="690"/>
      <c r="E113" s="690"/>
      <c r="F113" s="690"/>
      <c r="G113" s="690"/>
      <c r="H113" s="690"/>
      <c r="I113" s="97"/>
      <c r="J113" s="687"/>
      <c r="K113" s="687"/>
      <c r="L113" s="687"/>
      <c r="M113" s="687"/>
      <c r="N113" s="687"/>
      <c r="O113" s="687"/>
      <c r="P113" s="687"/>
    </row>
    <row r="114" spans="1:16" x14ac:dyDescent="0.35">
      <c r="A114" s="688" t="s">
        <v>505</v>
      </c>
      <c r="B114" s="690"/>
      <c r="C114" s="687"/>
      <c r="D114" s="690"/>
      <c r="E114" s="690"/>
      <c r="F114" s="690"/>
      <c r="G114" s="690"/>
      <c r="H114" s="690"/>
      <c r="I114" s="97"/>
      <c r="J114" s="687"/>
      <c r="K114" s="687"/>
      <c r="L114" s="687"/>
      <c r="M114" s="687"/>
      <c r="N114" s="687"/>
      <c r="O114" s="687"/>
      <c r="P114" s="687"/>
    </row>
    <row r="115" spans="1:16" s="687" customFormat="1" x14ac:dyDescent="0.35">
      <c r="B115" s="696" t="s">
        <v>124</v>
      </c>
      <c r="D115" s="690"/>
      <c r="E115" s="690"/>
      <c r="F115" s="690"/>
      <c r="G115" s="690"/>
      <c r="H115" s="690"/>
      <c r="I115" s="97"/>
    </row>
    <row r="116" spans="1:16" x14ac:dyDescent="0.35">
      <c r="A116" s="687"/>
      <c r="B116" s="221"/>
      <c r="C116" s="690"/>
      <c r="D116" s="690"/>
      <c r="E116" s="690"/>
      <c r="F116" s="690"/>
      <c r="G116" s="690"/>
      <c r="H116" s="690"/>
      <c r="I116" s="97"/>
      <c r="J116" s="687"/>
      <c r="K116" s="687"/>
      <c r="L116" s="687"/>
      <c r="M116" s="687"/>
      <c r="N116" s="687"/>
      <c r="O116" s="687"/>
      <c r="P116" s="687"/>
    </row>
    <row r="117" spans="1:16" s="687" customFormat="1" x14ac:dyDescent="0.35">
      <c r="B117" s="221"/>
      <c r="C117" s="690"/>
      <c r="D117" s="690"/>
      <c r="E117" s="690"/>
      <c r="F117" s="690"/>
      <c r="G117" s="690"/>
      <c r="H117" s="690"/>
      <c r="I117" s="97"/>
    </row>
    <row r="118" spans="1:16" x14ac:dyDescent="0.35">
      <c r="A118" s="687"/>
      <c r="B118" s="687"/>
      <c r="C118" s="743"/>
      <c r="D118" s="742"/>
      <c r="E118" s="742"/>
      <c r="F118" s="687"/>
      <c r="G118" s="687"/>
      <c r="H118" s="687"/>
      <c r="I118" s="687"/>
      <c r="J118" s="687"/>
      <c r="K118" s="687"/>
      <c r="L118" s="687"/>
      <c r="M118" s="687"/>
      <c r="N118" s="687"/>
      <c r="O118" s="687"/>
      <c r="P118" s="687"/>
    </row>
    <row r="119" spans="1:16" x14ac:dyDescent="0.35">
      <c r="A119" s="687"/>
      <c r="B119" s="687"/>
      <c r="C119" s="744"/>
      <c r="D119" s="687"/>
      <c r="E119" s="687"/>
      <c r="F119" s="687"/>
      <c r="G119" s="687"/>
      <c r="H119" s="687"/>
      <c r="I119" s="687"/>
      <c r="J119" s="687"/>
      <c r="K119" s="687"/>
      <c r="L119" s="687"/>
      <c r="M119" s="687"/>
      <c r="N119" s="687"/>
      <c r="O119" s="687"/>
      <c r="P119" s="687"/>
    </row>
    <row r="120" spans="1:16" ht="16" thickBot="1" x14ac:dyDescent="0.4">
      <c r="A120" s="1678"/>
      <c r="B120" s="1678"/>
      <c r="C120" s="1678"/>
      <c r="D120" s="1678"/>
      <c r="E120" s="1678"/>
      <c r="F120" s="1678"/>
      <c r="G120" s="1678"/>
      <c r="H120" s="1678"/>
      <c r="I120" s="1678"/>
      <c r="J120" s="1678"/>
      <c r="K120" s="1678"/>
      <c r="L120" s="1678"/>
      <c r="M120" s="1678"/>
      <c r="N120" s="1678"/>
      <c r="O120" s="1678"/>
      <c r="P120" s="1679" t="s">
        <v>72</v>
      </c>
    </row>
    <row r="121" spans="1:16" ht="15" thickTop="1" x14ac:dyDescent="0.35">
      <c r="A121" s="87"/>
      <c r="B121" s="87"/>
      <c r="C121" s="87"/>
      <c r="D121" s="87"/>
      <c r="E121" s="87"/>
      <c r="F121" s="87"/>
      <c r="G121" s="87"/>
      <c r="H121" s="87"/>
      <c r="I121" s="87"/>
      <c r="J121" s="87"/>
      <c r="K121" s="87"/>
      <c r="L121" s="87"/>
      <c r="M121" s="87"/>
      <c r="N121" s="87"/>
      <c r="O121" s="87"/>
      <c r="P121" s="87"/>
    </row>
  </sheetData>
  <mergeCells count="16">
    <mergeCell ref="B24:H24"/>
    <mergeCell ref="G3:P5"/>
    <mergeCell ref="A1:P1"/>
    <mergeCell ref="A105:E105"/>
    <mergeCell ref="J84:O84"/>
    <mergeCell ref="B96:F96"/>
    <mergeCell ref="B7:E7"/>
    <mergeCell ref="B51:E51"/>
    <mergeCell ref="B68:H68"/>
    <mergeCell ref="J68:O68"/>
    <mergeCell ref="B81:H81"/>
    <mergeCell ref="I51:N51"/>
    <mergeCell ref="B37:H37"/>
    <mergeCell ref="J40:O40"/>
    <mergeCell ref="J24:O24"/>
    <mergeCell ref="I7:O7"/>
  </mergeCells>
  <phoneticPr fontId="44" type="noConversion"/>
  <hyperlinks>
    <hyperlink ref="B109" r:id="rId1" xr:uid="{00000000-0004-0000-1200-000001000000}"/>
    <hyperlink ref="B108" r:id="rId2" display="    https://www.epa.gov/energy/egrid-summary-tables" xr:uid="{00000000-0004-0000-1200-000006000000}"/>
    <hyperlink ref="B115" r:id="rId3" xr:uid="{9DB333CA-802F-4857-8081-FAF1B49D1EF2}"/>
    <hyperlink ref="B4" location="'Glossary-FAQs'!A1" display="Glossary/FAQ" xr:uid="{ED1EF29D-E056-4337-8822-D54F3059E87F}"/>
    <hyperlink ref="E67" r:id="rId4" xr:uid="{87548058-508A-46DC-BC94-E5C2137FE837}"/>
    <hyperlink ref="E23" r:id="rId5" xr:uid="{6182E0E8-1E19-4FCE-BC3C-02CD54E59814}"/>
    <hyperlink ref="C3" location="'Welcome'!C15" display="  = Data entry needed. See color legend on Welcome tab for more info.  " xr:uid="{4F6555D7-A8BC-4B46-AAC0-54117889B78F}"/>
  </hyperlinks>
  <pageMargins left="0.7" right="0.7" top="0.75" bottom="0.75" header="0.3" footer="0.3"/>
  <pageSetup scale="32"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57E6DBC3D4A64BB87C712C58EB2BC0" ma:contentTypeVersion="13" ma:contentTypeDescription="Create a new document." ma:contentTypeScope="" ma:versionID="be24a93e217cd1fdb804d7806c6534ab">
  <xsd:schema xmlns:xsd="http://www.w3.org/2001/XMLSchema" xmlns:xs="http://www.w3.org/2001/XMLSchema" xmlns:p="http://schemas.microsoft.com/office/2006/metadata/properties" xmlns:ns2="af6ddb77-97a2-4e0b-8b1a-e3ce6ab9d459" xmlns:ns3="bbc87851-c9e4-48ea-be06-e79e519f57c1" targetNamespace="http://schemas.microsoft.com/office/2006/metadata/properties" ma:root="true" ma:fieldsID="92079ecbb78ac207e9f890592ad3339d" ns2:_="" ns3:_="">
    <xsd:import namespace="af6ddb77-97a2-4e0b-8b1a-e3ce6ab9d459"/>
    <xsd:import namespace="bbc87851-c9e4-48ea-be06-e79e519f57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ddb77-97a2-4e0b-8b1a-e3ce6ab9d4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c87851-c9e4-48ea-be06-e79e519f57c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2CC3D4-3F81-469C-BCE8-AEBE5C76384B}">
  <ds:schemaRefs>
    <ds:schemaRef ds:uri="http://schemas.microsoft.com/sharepoint/v3/contenttype/forms"/>
  </ds:schemaRefs>
</ds:datastoreItem>
</file>

<file path=customXml/itemProps2.xml><?xml version="1.0" encoding="utf-8"?>
<ds:datastoreItem xmlns:ds="http://schemas.openxmlformats.org/officeDocument/2006/customXml" ds:itemID="{A894482E-95F4-4E7B-91C6-BBF0B00C66A1}">
  <ds:schemaRef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bbc87851-c9e4-48ea-be06-e79e519f57c1"/>
    <ds:schemaRef ds:uri="af6ddb77-97a2-4e0b-8b1a-e3ce6ab9d459"/>
  </ds:schemaRefs>
</ds:datastoreItem>
</file>

<file path=customXml/itemProps3.xml><?xml version="1.0" encoding="utf-8"?>
<ds:datastoreItem xmlns:ds="http://schemas.openxmlformats.org/officeDocument/2006/customXml" ds:itemID="{7856B212-2946-4F8A-9B48-37BA32677C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ddb77-97a2-4e0b-8b1a-e3ce6ab9d459"/>
    <ds:schemaRef ds:uri="bbc87851-c9e4-48ea-be06-e79e519f5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6</vt:i4>
      </vt:variant>
    </vt:vector>
  </HeadingPairs>
  <TitlesOfParts>
    <vt:vector size="35" baseType="lpstr">
      <vt:lpstr>Welcome</vt:lpstr>
      <vt:lpstr>Glossary-FAQs</vt:lpstr>
      <vt:lpstr>Report-All Sources</vt:lpstr>
      <vt:lpstr>Report-ScopeSummary</vt:lpstr>
      <vt:lpstr>Report-Brewery</vt:lpstr>
      <vt:lpstr>Report-Upstream</vt:lpstr>
      <vt:lpstr>Report-Downstream</vt:lpstr>
      <vt:lpstr>Brewery-Control Data</vt:lpstr>
      <vt:lpstr>Brewery-Electricity</vt:lpstr>
      <vt:lpstr>Brewery-Natural Gas</vt:lpstr>
      <vt:lpstr>Brewery-Flaring</vt:lpstr>
      <vt:lpstr>Brewery-Fugitive</vt:lpstr>
      <vt:lpstr>Brewery-Manu Waste</vt:lpstr>
      <vt:lpstr>Brewery-Vehicle Fleet</vt:lpstr>
      <vt:lpstr>Brewery-Air Travel</vt:lpstr>
      <vt:lpstr>Upstream-Water</vt:lpstr>
      <vt:lpstr>Upstream-Malt</vt:lpstr>
      <vt:lpstr>Upstream-Barley</vt:lpstr>
      <vt:lpstr>Upstream-CO2 Purchases</vt:lpstr>
      <vt:lpstr>Upstream-Glass</vt:lpstr>
      <vt:lpstr>Upstream-Aluminum</vt:lpstr>
      <vt:lpstr>Upstream-Fiber Packaging</vt:lpstr>
      <vt:lpstr>Downstream-Distribution</vt:lpstr>
      <vt:lpstr>Downstream-Retail</vt:lpstr>
      <vt:lpstr>Downstream-Use</vt:lpstr>
      <vt:lpstr>Ref-Retail Inputs</vt:lpstr>
      <vt:lpstr>Ref-Less Than 1% Items</vt:lpstr>
      <vt:lpstr>Ref-GHG Protocol Scopes</vt:lpstr>
      <vt:lpstr>VersionHistory</vt:lpstr>
      <vt:lpstr>brew1_abb</vt:lpstr>
      <vt:lpstr>brew2_abb</vt:lpstr>
      <vt:lpstr>brewery1_name</vt:lpstr>
      <vt:lpstr>brewery2_name</vt:lpstr>
      <vt:lpstr>company_name</vt:lpstr>
      <vt:lpstr>ghg_year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PFlynn</dc:creator>
  <cp:keywords/>
  <dc:description/>
  <cp:lastModifiedBy>Dana Villeneuve</cp:lastModifiedBy>
  <cp:revision/>
  <dcterms:created xsi:type="dcterms:W3CDTF">2009-06-05T19:44:16Z</dcterms:created>
  <dcterms:modified xsi:type="dcterms:W3CDTF">2021-08-13T19:45:46Z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0x010100DF57E6DBC3D4A64BB87C712C58EB2BC0</vt:lpwstr>
  </property>
</Properties>
</file>